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athryn\Educe Dropbox\Content\Managing Firm Performance\"/>
    </mc:Choice>
  </mc:AlternateContent>
  <xr:revisionPtr revIDLastSave="0" documentId="13_ncr:1_{03536B05-9470-4DD6-A404-4025318B0D96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Growth Goals" sheetId="1" r:id="rId1"/>
    <sheet name="New Business (AUM)" sheetId="2" r:id="rId2"/>
    <sheet name="Source, Adv Source, &amp; Status" sheetId="3" r:id="rId3"/>
    <sheet name="COI" sheetId="5" r:id="rId4"/>
    <sheet name="Lead" sheetId="6" r:id="rId5"/>
    <sheet name="Advisor Acquisition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3" l="1"/>
  <c r="D48" i="3"/>
  <c r="B61" i="5"/>
  <c r="B62" i="5"/>
  <c r="B63" i="5"/>
  <c r="B64" i="5"/>
  <c r="D14" i="2"/>
  <c r="F27" i="4"/>
  <c r="F26" i="4"/>
  <c r="F25" i="4"/>
  <c r="D26" i="4"/>
  <c r="D25" i="4"/>
  <c r="B29" i="4"/>
  <c r="B28" i="4"/>
  <c r="B27" i="4"/>
  <c r="B26" i="4"/>
  <c r="B25" i="4"/>
  <c r="H26" i="4"/>
  <c r="M20" i="4"/>
  <c r="H25" i="4" s="1"/>
  <c r="F62" i="5"/>
  <c r="F61" i="5"/>
  <c r="D64" i="5"/>
  <c r="D63" i="5"/>
  <c r="D62" i="5"/>
  <c r="D61" i="5"/>
  <c r="B14" i="2"/>
  <c r="L45" i="3"/>
  <c r="L44" i="3"/>
  <c r="L43" i="3"/>
  <c r="D55" i="3"/>
  <c r="D54" i="3"/>
  <c r="D52" i="3"/>
  <c r="D53" i="3"/>
  <c r="D51" i="3"/>
  <c r="D50" i="3"/>
  <c r="D47" i="3"/>
  <c r="D46" i="3"/>
  <c r="D44" i="3"/>
  <c r="D43" i="3"/>
  <c r="F53" i="3"/>
  <c r="F52" i="3"/>
  <c r="F51" i="3"/>
  <c r="F50" i="3"/>
  <c r="F46" i="3"/>
  <c r="F45" i="3"/>
  <c r="F44" i="3"/>
  <c r="F43" i="3"/>
  <c r="J41" i="3"/>
  <c r="D41" i="3"/>
  <c r="J40" i="3"/>
  <c r="D40" i="3"/>
  <c r="J39" i="3"/>
  <c r="F39" i="3"/>
  <c r="D39" i="3"/>
  <c r="L38" i="3"/>
  <c r="J38" i="3"/>
  <c r="H38" i="3"/>
  <c r="F38" i="3"/>
  <c r="D38" i="3"/>
  <c r="B38" i="3"/>
  <c r="L37" i="3"/>
  <c r="J37" i="3"/>
  <c r="H37" i="3"/>
  <c r="F37" i="3"/>
  <c r="D37" i="3"/>
  <c r="B37" i="3"/>
  <c r="L36" i="3"/>
  <c r="J36" i="3"/>
  <c r="H36" i="3"/>
  <c r="F36" i="3"/>
  <c r="D36" i="3"/>
  <c r="B36" i="3"/>
  <c r="K31" i="3"/>
  <c r="J31" i="3"/>
</calcChain>
</file>

<file path=xl/sharedStrings.xml><?xml version="1.0" encoding="utf-8"?>
<sst xmlns="http://schemas.openxmlformats.org/spreadsheetml/2006/main" count="590" uniqueCount="269">
  <si>
    <t>Last Name</t>
  </si>
  <si>
    <t>First Name</t>
  </si>
  <si>
    <t>Date Introduced</t>
  </si>
  <si>
    <t>Referrer</t>
  </si>
  <si>
    <t>Source Type</t>
  </si>
  <si>
    <t>DC Source</t>
  </si>
  <si>
    <t xml:space="preserve">Qualified </t>
  </si>
  <si>
    <t>Status</t>
  </si>
  <si>
    <t>Potential AUM</t>
  </si>
  <si>
    <t>Captured AUM</t>
  </si>
  <si>
    <t>Advisor Lead</t>
  </si>
  <si>
    <t>Advisor Closed</t>
  </si>
  <si>
    <t>Women w/ Loss</t>
  </si>
  <si>
    <t>Business Owner</t>
  </si>
  <si>
    <t>Retirement</t>
  </si>
  <si>
    <t>TOTALS:</t>
  </si>
  <si>
    <t>Source Type Totals</t>
  </si>
  <si>
    <t>Qualified Totals</t>
  </si>
  <si>
    <t>Status Breakdown</t>
  </si>
  <si>
    <t>Client</t>
  </si>
  <si>
    <t>TC</t>
  </si>
  <si>
    <t>Yes</t>
  </si>
  <si>
    <t>Lead</t>
  </si>
  <si>
    <t>JM</t>
  </si>
  <si>
    <t>COI</t>
  </si>
  <si>
    <t>No</t>
  </si>
  <si>
    <t>Prospect</t>
  </si>
  <si>
    <t>AB</t>
  </si>
  <si>
    <t>Business Owners</t>
  </si>
  <si>
    <t xml:space="preserve">Digital </t>
  </si>
  <si>
    <t>SM</t>
  </si>
  <si>
    <t>Unknown</t>
  </si>
  <si>
    <t>On-Boarding</t>
  </si>
  <si>
    <t>Networking</t>
  </si>
  <si>
    <t>No Go</t>
  </si>
  <si>
    <t>Presentation</t>
  </si>
  <si>
    <t>Natural Market</t>
  </si>
  <si>
    <t>N/A</t>
  </si>
  <si>
    <t>Qualified by Source</t>
  </si>
  <si>
    <t>Closed by Source</t>
  </si>
  <si>
    <t>Company Name</t>
  </si>
  <si>
    <t>AUM</t>
  </si>
  <si>
    <t>Interest</t>
  </si>
  <si>
    <t>Offer</t>
  </si>
  <si>
    <t>Result</t>
  </si>
  <si>
    <t>Specialty</t>
  </si>
  <si>
    <t>Occupation</t>
  </si>
  <si>
    <t>Influencer or Popeye</t>
  </si>
  <si>
    <t>Results</t>
  </si>
  <si>
    <t xml:space="preserve">YTD AUM TOTAL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</si>
  <si>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</si>
  <si>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</si>
  <si>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</si>
  <si>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</si>
  <si>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</si>
  <si>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</si>
  <si>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</si>
  <si>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</si>
  <si>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</si>
  <si>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</si>
  <si>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</si>
  <si>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</si>
  <si>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Specialty Totals</t>
  </si>
  <si>
    <t>COIs in Specialty Totals</t>
  </si>
  <si>
    <t>Firm</t>
  </si>
  <si>
    <t>Status of COIs</t>
  </si>
  <si>
    <t>Influencer</t>
  </si>
  <si>
    <t>Popeye</t>
  </si>
  <si>
    <t>Committed/Yr 1</t>
  </si>
  <si>
    <t>Influencers vs. Popeyes</t>
  </si>
  <si>
    <t>Total:</t>
  </si>
  <si>
    <t>Goal:</t>
  </si>
  <si>
    <t>Date Offer Made</t>
  </si>
  <si>
    <t>Date of Result</t>
  </si>
  <si>
    <t>AUM to DC</t>
  </si>
  <si>
    <t># of HH</t>
  </si>
  <si>
    <t># of Employees</t>
  </si>
  <si>
    <t>Advisor M&amp;A Pipeline</t>
  </si>
  <si>
    <t>High</t>
  </si>
  <si>
    <t>Medium</t>
  </si>
  <si>
    <t>Low</t>
  </si>
  <si>
    <t>None</t>
  </si>
  <si>
    <t>Results of Offers Made</t>
  </si>
  <si>
    <t>Accepted</t>
  </si>
  <si>
    <t>Declined</t>
  </si>
  <si>
    <t>Total</t>
  </si>
  <si>
    <t>Goal</t>
  </si>
  <si>
    <t>DC Makes an Offer</t>
  </si>
  <si>
    <t>CPA</t>
  </si>
  <si>
    <t>Estate Planning Attorney</t>
  </si>
  <si>
    <t>Business Broker</t>
  </si>
  <si>
    <t>IT</t>
  </si>
  <si>
    <t>Estate Planning Attorney/CPA</t>
  </si>
  <si>
    <t>Reverse Mortgages</t>
  </si>
  <si>
    <t>Accounting</t>
  </si>
  <si>
    <t>M&amp;A</t>
  </si>
  <si>
    <t>Biz Dev</t>
  </si>
  <si>
    <t>Attorney</t>
  </si>
  <si>
    <t>Recruiter</t>
  </si>
  <si>
    <t>Account Executive/Tech</t>
  </si>
  <si>
    <t>Mortgage Loan Originator</t>
  </si>
  <si>
    <t>Insurance Agent</t>
  </si>
  <si>
    <t>Real Estate</t>
  </si>
  <si>
    <t>Associate, Buy Out</t>
  </si>
  <si>
    <t>Branch Manager</t>
  </si>
  <si>
    <t>Divorce Attorney</t>
  </si>
  <si>
    <t>Principal</t>
  </si>
  <si>
    <t>Founder</t>
  </si>
  <si>
    <t>CEO</t>
  </si>
  <si>
    <t xml:space="preserve">Commercial Broker </t>
  </si>
  <si>
    <t>President of Benefits</t>
  </si>
  <si>
    <t>Director</t>
  </si>
  <si>
    <t>PHD</t>
  </si>
  <si>
    <t>Business Development Director</t>
  </si>
  <si>
    <t>Principal Consultant</t>
  </si>
  <si>
    <t xml:space="preserve">Consultant </t>
  </si>
  <si>
    <t>Leadership Coach</t>
  </si>
  <si>
    <t>Business Planning Attorney</t>
  </si>
  <si>
    <t>Advisor</t>
  </si>
  <si>
    <t>Partner</t>
  </si>
  <si>
    <t>VP</t>
  </si>
  <si>
    <t>Co-Founder</t>
  </si>
  <si>
    <t>Tiffany Charles</t>
  </si>
  <si>
    <t>Family Relationship</t>
  </si>
  <si>
    <t>Leet</t>
  </si>
  <si>
    <t>Trisha</t>
  </si>
  <si>
    <t>Lockton</t>
  </si>
  <si>
    <t>Estate Planning Attorney (HNW)</t>
  </si>
  <si>
    <t>1.1.18</t>
  </si>
  <si>
    <t>2.1.18</t>
  </si>
  <si>
    <t>2.15.18</t>
  </si>
  <si>
    <t>3.1.18</t>
  </si>
  <si>
    <t>3.31.18</t>
  </si>
  <si>
    <t>4.1.18</t>
  </si>
  <si>
    <t>4.15.18</t>
  </si>
  <si>
    <t>5.1.18</t>
  </si>
  <si>
    <t>6.1.18</t>
  </si>
  <si>
    <t>7.1.18</t>
  </si>
  <si>
    <t>8.1.18</t>
  </si>
  <si>
    <t>8.15.18</t>
  </si>
  <si>
    <t>Referral Name</t>
  </si>
  <si>
    <t>Digital</t>
  </si>
  <si>
    <t>$</t>
  </si>
  <si>
    <t>A</t>
  </si>
  <si>
    <t>B</t>
  </si>
  <si>
    <t>C</t>
  </si>
  <si>
    <t>D</t>
  </si>
  <si>
    <t>Wealth Management ABC</t>
  </si>
  <si>
    <t>Financial Planning XYZ</t>
  </si>
  <si>
    <t xml:space="preserve">COI 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</si>
  <si>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</si>
  <si>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</si>
  <si>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</si>
  <si>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</si>
  <si>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</si>
  <si>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</si>
  <si>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</si>
  <si>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</si>
  <si>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</si>
  <si>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</si>
  <si>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</si>
  <si>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</si>
  <si>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</si>
  <si>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</si>
  <si>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</si>
  <si>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</si>
  <si>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</si>
  <si>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</si>
  <si>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</si>
  <si>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</si>
  <si>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</si>
  <si>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</si>
  <si>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</si>
  <si>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</si>
  <si>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</si>
  <si>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</si>
  <si>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</si>
  <si>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</si>
  <si>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</si>
  <si>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</si>
  <si>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</si>
  <si>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</si>
  <si>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</si>
  <si>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</si>
  <si>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</si>
  <si>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</si>
  <si>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</si>
  <si>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PP</t>
  </si>
  <si>
    <t>QQ</t>
  </si>
  <si>
    <t>RR</t>
  </si>
  <si>
    <t>SS</t>
  </si>
  <si>
    <t>TT</t>
  </si>
  <si>
    <t>UU</t>
  </si>
  <si>
    <t>Speaker</t>
  </si>
  <si>
    <t>EO President</t>
  </si>
  <si>
    <t>NUMBER</t>
  </si>
  <si>
    <t>LAST NAME</t>
  </si>
  <si>
    <t>FIRST NAME</t>
  </si>
  <si>
    <t>SPOUSE</t>
  </si>
  <si>
    <t>EMAIL</t>
  </si>
  <si>
    <t>PHONE</t>
  </si>
  <si>
    <t xml:space="preserve">BUSINESS </t>
  </si>
  <si>
    <t>LEAD TYPE</t>
  </si>
  <si>
    <t>SOURCE</t>
  </si>
  <si>
    <t>SOURCE 2</t>
  </si>
  <si>
    <t>DATE MENTIONED</t>
  </si>
  <si>
    <t>CONNECTION MADE</t>
  </si>
  <si>
    <t># OF FOLLOW UPS 
TO LEAD</t>
  </si>
  <si>
    <t># OF FOLLOW UPS TO 
LEAD GENERATOR</t>
  </si>
  <si>
    <t>TEMP</t>
  </si>
  <si>
    <t>NOTES</t>
  </si>
  <si>
    <t xml:space="preserve">Definition: </t>
  </si>
  <si>
    <t xml:space="preserve">Name has been mentioned or personal introduction has been made. </t>
  </si>
  <si>
    <t>Temps:</t>
  </si>
  <si>
    <t>No personal connection made yet</t>
  </si>
  <si>
    <t>Connection made, but no indication of readiness</t>
  </si>
  <si>
    <t>Connection made, indication of near term readiness</t>
  </si>
  <si>
    <t>Intro call being scheduled or is scheduled</t>
  </si>
  <si>
    <t xml:space="preserve">Lead </t>
  </si>
  <si>
    <t>AB@gmail.com</t>
  </si>
  <si>
    <t xml:space="preserve">BizNess </t>
  </si>
  <si>
    <t>EA</t>
  </si>
  <si>
    <t>Membership Community</t>
  </si>
  <si>
    <t>1.1.23</t>
  </si>
  <si>
    <t>1.5.23</t>
  </si>
  <si>
    <t>CD@gmail.com</t>
  </si>
  <si>
    <t>666-666-6666</t>
  </si>
  <si>
    <t>555-555-5555</t>
  </si>
  <si>
    <t>RetiredNESS</t>
  </si>
  <si>
    <t>DC</t>
  </si>
  <si>
    <t>COI Name</t>
  </si>
  <si>
    <t>1.15.23</t>
  </si>
  <si>
    <t>Amy</t>
  </si>
  <si>
    <t>Bobby</t>
  </si>
  <si>
    <t>Derek</t>
  </si>
  <si>
    <t>Gwen</t>
  </si>
  <si>
    <t>Harry</t>
  </si>
  <si>
    <t>James</t>
  </si>
  <si>
    <t>Kelly</t>
  </si>
  <si>
    <t>Liam</t>
  </si>
  <si>
    <t>Weinstein</t>
  </si>
  <si>
    <t>Fisher</t>
  </si>
  <si>
    <t>Christy</t>
  </si>
  <si>
    <t>Brinkley</t>
  </si>
  <si>
    <t>Jeeter</t>
  </si>
  <si>
    <t>Ethan</t>
  </si>
  <si>
    <t>Hawke</t>
  </si>
  <si>
    <t>Frank</t>
  </si>
  <si>
    <t>Sinatra</t>
  </si>
  <si>
    <t>Steffani</t>
  </si>
  <si>
    <t>Prince of Wales</t>
  </si>
  <si>
    <t>Ingrid</t>
  </si>
  <si>
    <t>Bergman</t>
  </si>
  <si>
    <t>Bond</t>
  </si>
  <si>
    <t>Clarkson</t>
  </si>
  <si>
    <t>Neeson</t>
  </si>
  <si>
    <t xml:space="preserve"> ADV Source Totals</t>
  </si>
  <si>
    <t>Adv1</t>
  </si>
  <si>
    <t>Adv2</t>
  </si>
  <si>
    <t>Adv3</t>
  </si>
  <si>
    <t>Adv4</t>
  </si>
  <si>
    <t>Rescinded</t>
  </si>
  <si>
    <t xml:space="preserve">2024 AUM GOAL </t>
  </si>
  <si>
    <t>Year 2024</t>
  </si>
  <si>
    <t xml:space="preserve">Year 2023 </t>
  </si>
  <si>
    <t xml:space="preserve">2023 AUM GOAL </t>
  </si>
  <si>
    <t>Destiny Capital</t>
  </si>
  <si>
    <t>© Educe Inc. | Limitless Advisor
Limitless materials may not be reproduced, used, or sold in whole or in part, in any manner, without written consent or license for use by Educe, Inc.</t>
  </si>
  <si>
    <r>
      <rPr>
        <b/>
        <sz val="48"/>
        <color theme="7"/>
        <rFont val="Gisha"/>
        <family val="2"/>
      </rPr>
      <t>Growth Tracker</t>
    </r>
    <r>
      <rPr>
        <sz val="48"/>
        <color theme="6"/>
        <rFont val="Gisha"/>
        <family val="2"/>
      </rPr>
      <t xml:space="preserve"> </t>
    </r>
    <r>
      <rPr>
        <b/>
        <i/>
        <sz val="48"/>
        <color theme="6"/>
        <rFont val="Gisha"/>
        <family val="2"/>
      </rPr>
      <t>Dashboard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</si>
</sst>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;[Red]&quot;$&quot;#,##0"/>
  </numFmts>
  <fonts count="38" x14ac:knownFonts="1">
    <font>
      <sz val="10"/>
      <color rgb="FF000000"/>
      <name val="Arial"/>
    </font>
    <font>
      <b/>
      <sz val="12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b/>
      <sz val="12"/>
      <name val="Gilmer"/>
      <family val="3"/>
    </font>
    <font>
      <sz val="10"/>
      <color rgb="FF000000"/>
      <name val="Gilmer"/>
      <family val="3"/>
    </font>
    <font>
      <sz val="10"/>
      <name val="Gilmer"/>
      <family val="3"/>
    </font>
    <font>
      <b/>
      <sz val="10"/>
      <color rgb="FF000000"/>
      <name val="Gilmer"/>
      <family val="3"/>
    </font>
    <font>
      <sz val="11"/>
      <name val="Gilmer"/>
      <family val="3"/>
    </font>
    <font>
      <b/>
      <sz val="10"/>
      <color theme="1"/>
      <name val="Gilmer"/>
      <family val="3"/>
    </font>
    <font>
      <b/>
      <sz val="12"/>
      <color theme="1"/>
      <name val="Gilmer"/>
      <family val="3"/>
    </font>
    <font>
      <u/>
      <sz val="11"/>
      <color theme="10"/>
      <name val="Gilmer"/>
      <family val="3"/>
    </font>
    <font>
      <b/>
      <sz val="10"/>
      <color rgb="FF000000"/>
      <name val="Gilmer Light"/>
      <family val="3"/>
    </font>
    <font>
      <sz val="10"/>
      <color rgb="FF000000"/>
      <name val="Gilmer Light"/>
      <family val="3"/>
    </font>
    <font>
      <b/>
      <sz val="12"/>
      <color rgb="FF000000"/>
      <name val="Gilmer Light"/>
      <family val="3"/>
    </font>
    <font>
      <b/>
      <sz val="12"/>
      <color rgb="FF009800"/>
      <name val="Gilmer Light"/>
      <family val="3"/>
    </font>
    <font>
      <b/>
      <sz val="12"/>
      <name val="Gilmer Light"/>
      <family val="3"/>
    </font>
    <font>
      <sz val="12"/>
      <color rgb="FF000000"/>
      <name val="Gilmer Light"/>
      <family val="3"/>
    </font>
    <font>
      <b/>
      <sz val="14"/>
      <name val="Gilmer Light"/>
      <family val="3"/>
    </font>
    <font>
      <b/>
      <sz val="14"/>
      <color rgb="FF38761D"/>
      <name val="Gilmer Light"/>
      <family val="3"/>
    </font>
    <font>
      <sz val="10"/>
      <name val="Gilmer Light"/>
      <family val="3"/>
    </font>
    <font>
      <sz val="12"/>
      <name val="Gilmer Light"/>
      <family val="3"/>
    </font>
    <font>
      <sz val="14"/>
      <name val="Gilmer Light"/>
      <family val="3"/>
    </font>
    <font>
      <b/>
      <sz val="14"/>
      <color rgb="FF1155CC"/>
      <name val="Gilmer Light"/>
      <family val="3"/>
    </font>
    <font>
      <sz val="20"/>
      <color rgb="FF0070C0"/>
      <name val="Gilmer Light"/>
      <family val="3"/>
    </font>
    <font>
      <sz val="12"/>
      <color theme="1" tint="0.39997558519241921"/>
      <name val="Gilmer Light"/>
      <family val="3"/>
    </font>
    <font>
      <sz val="48"/>
      <color rgb="FF000000"/>
      <name val="Gisha"/>
      <family val="2"/>
    </font>
    <font>
      <sz val="48"/>
      <color theme="6"/>
      <name val="Gisha"/>
      <family val="2"/>
    </font>
    <font>
      <b/>
      <sz val="48"/>
      <color theme="7"/>
      <name val="Gisha"/>
      <family val="2"/>
    </font>
    <font>
      <b/>
      <i/>
      <sz val="48"/>
      <color theme="6"/>
      <name val="Gisha"/>
      <family val="2"/>
    </font>
    <font>
      <sz val="10"/>
      <color rgb="FF000000"/>
      <name val="Gish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4" xfId="0" applyBorder="1"/>
    <xf numFmtId="0" fontId="7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15" applyFont="1" applyAlignment="1" applyProtection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15" applyFont="1" applyAlignment="1" applyProtection="1">
      <alignment horizontal="center"/>
    </xf>
    <xf numFmtId="0" fontId="12" fillId="4" borderId="0" xfId="0" applyFont="1" applyFill="1"/>
    <xf numFmtId="0" fontId="12" fillId="5" borderId="0" xfId="0" applyFont="1" applyFill="1"/>
    <xf numFmtId="0" fontId="12" fillId="2" borderId="0" xfId="0" applyFont="1" applyFill="1"/>
    <xf numFmtId="0" fontId="12" fillId="0" borderId="0" xfId="0" applyFont="1" applyAlignment="1">
      <alignment horizontal="left"/>
    </xf>
    <xf numFmtId="0" fontId="12" fillId="3" borderId="0" xfId="0" applyFont="1" applyFill="1"/>
    <xf numFmtId="14" fontId="12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44" fontId="20" fillId="0" borderId="0" xfId="16" applyFont="1" applyAlignment="1">
      <alignment horizontal="center"/>
    </xf>
    <xf numFmtId="0" fontId="20" fillId="0" borderId="10" xfId="0" applyFont="1" applyBorder="1"/>
    <xf numFmtId="164" fontId="20" fillId="0" borderId="0" xfId="0" applyNumberFormat="1" applyFont="1"/>
    <xf numFmtId="44" fontId="20" fillId="0" borderId="0" xfId="16" applyFont="1"/>
    <xf numFmtId="0" fontId="20" fillId="0" borderId="16" xfId="0" applyFont="1" applyBorder="1"/>
    <xf numFmtId="164" fontId="20" fillId="0" borderId="16" xfId="0" applyNumberFormat="1" applyFont="1" applyBorder="1"/>
    <xf numFmtId="0" fontId="20" fillId="0" borderId="14" xfId="0" applyFont="1" applyBorder="1"/>
    <xf numFmtId="0" fontId="21" fillId="0" borderId="14" xfId="0" applyFont="1" applyBorder="1" applyAlignment="1">
      <alignment horizontal="right"/>
    </xf>
    <xf numFmtId="164" fontId="21" fillId="0" borderId="14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6" fontId="22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6" fontId="22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23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64" fontId="21" fillId="0" borderId="11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6" fontId="22" fillId="0" borderId="11" xfId="0" applyNumberFormat="1" applyFont="1" applyBorder="1" applyAlignment="1">
      <alignment horizontal="center"/>
    </xf>
    <xf numFmtId="0" fontId="20" fillId="0" borderId="11" xfId="0" applyFont="1" applyBorder="1"/>
    <xf numFmtId="0" fontId="24" fillId="0" borderId="10" xfId="0" applyFont="1" applyBorder="1" applyAlignment="1">
      <alignment horizontal="center"/>
    </xf>
    <xf numFmtId="0" fontId="20" fillId="0" borderId="12" xfId="0" applyFont="1" applyBorder="1"/>
    <xf numFmtId="0" fontId="20" fillId="0" borderId="13" xfId="0" applyFont="1" applyBorder="1"/>
    <xf numFmtId="0" fontId="24" fillId="0" borderId="12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166" fontId="21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164" fontId="26" fillId="0" borderId="1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0" fontId="27" fillId="0" borderId="0" xfId="0" applyFont="1"/>
    <xf numFmtId="0" fontId="24" fillId="0" borderId="0" xfId="0" applyFont="1"/>
    <xf numFmtId="0" fontId="28" fillId="0" borderId="0" xfId="0" applyFont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10" xfId="0" applyFont="1" applyBorder="1"/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4" fillId="0" borderId="12" xfId="0" applyFont="1" applyBorder="1"/>
    <xf numFmtId="0" fontId="24" fillId="0" borderId="13" xfId="0" applyFont="1" applyBorder="1"/>
    <xf numFmtId="0" fontId="23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7" fillId="0" borderId="1" xfId="0" applyFont="1" applyBorder="1"/>
    <xf numFmtId="0" fontId="25" fillId="0" borderId="1" xfId="0" applyFont="1" applyBorder="1" applyAlignment="1">
      <alignment horizontal="right"/>
    </xf>
    <xf numFmtId="0" fontId="29" fillId="0" borderId="1" xfId="0" applyFont="1" applyBorder="1"/>
    <xf numFmtId="164" fontId="30" fillId="0" borderId="1" xfId="0" applyNumberFormat="1" applyFont="1" applyBorder="1" applyAlignment="1">
      <alignment horizontal="center"/>
    </xf>
    <xf numFmtId="0" fontId="31" fillId="0" borderId="0" xfId="0" applyFont="1"/>
    <xf numFmtId="0" fontId="23" fillId="0" borderId="2" xfId="0" applyFont="1" applyBorder="1" applyAlignment="1">
      <alignment horizontal="center"/>
    </xf>
    <xf numFmtId="0" fontId="28" fillId="0" borderId="3" xfId="0" applyFont="1" applyBorder="1"/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0" fillId="0" borderId="0" xfId="0" applyAlignment="1">
      <alignment horizontal="right"/>
    </xf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17">
    <cellStyle name="Currency" xfId="16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/>
    <cellStyle name="Normal" xfId="0" builtinId="0"/>
  </cellStyles>
  <dxfs count="0"/>
  <tableStyles count="0" defaultTableStyle="TableStyleMedium9" defaultPivotStyle="PivotStyleMedium4"/>
  <colors>
    <mruColors>
      <color rgb="FF669900"/>
      <color rgb="FFF8E42B"/>
      <color rgb="FF0098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 New AUM</a:t>
            </a:r>
          </a:p>
          <a:p>
            <a:pPr>
              <a:defRPr/>
            </a:pPr>
            <a:r>
              <a:rPr lang="en-US"/>
              <a:t>Goal: $15,000,000 by 12.31.23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683164604424447"/>
          <c:y val="0.19826661911163543"/>
          <c:w val="0.80559943164999115"/>
          <c:h val="0.67913605311531178"/>
        </c:manualLayout>
      </c:layout>
      <c:barChart>
        <c:barDir val="col"/>
        <c:grouping val="stacked"/>
        <c:varyColors val="1"/>
        <c:ser>
          <c:idx val="1"/>
          <c:order val="1"/>
          <c:tx>
            <c:strRef>
              <c:f>'New Business (AUM)'!$A$15</c:f>
              <c:strCache>
                <c:ptCount val="1"/>
                <c:pt idx="0">
                  <c:v>2023 AUM GOAL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D49-DF44-9D33-EE61DE956D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'New Business (AUM)'!$B$15</c:f>
              <c:numCache>
                <c:formatCode>"$"#,##0</c:formatCode>
                <c:ptCount val="1"/>
                <c:pt idx="0">
                  <c:v>15000000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9-DF44-9D33-EE61DE956D3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49685760"/>
        <c:axId val="347818072"/>
      </c:barChart>
      <c:barChart>
        <c:barDir val="col"/>
        <c:grouping val="stacked"/>
        <c:varyColors val="1"/>
        <c:ser>
          <c:idx val="0"/>
          <c:order val="0"/>
          <c:tx>
            <c:strRef>
              <c:f>'New Business (AUM)'!$A$14</c:f>
              <c:strCache>
                <c:ptCount val="1"/>
                <c:pt idx="0">
                  <c:v>YTD AUM TOTAL </c:v>
                </c:pt>
              </c:strCache>
            </c:strRef>
          </c:tx>
          <c:spPr>
            <a:solidFill>
              <a:srgbClr val="417E77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'New Business (AUM)'!$B$14</c:f>
              <c:numCache>
                <c:formatCode>"$"#,##0</c:formatCode>
                <c:ptCount val="1"/>
                <c:pt idx="0">
                  <c:v>9000000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1D49-DF44-9D33-EE61DE956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7815720"/>
        <c:axId val="347814544"/>
      </c:barChart>
      <c:catAx>
        <c:axId val="349685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818072"/>
        <c:crosses val="autoZero"/>
        <c:auto val="1"/>
        <c:lblAlgn val="ctr"/>
        <c:lblOffset val="100"/>
        <c:noMultiLvlLbl val="1"/>
      </c:catAx>
      <c:valAx>
        <c:axId val="347818072"/>
        <c:scaling>
          <c:orientation val="minMax"/>
          <c:max val="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685760"/>
        <c:crosses val="autoZero"/>
        <c:crossBetween val="between"/>
        <c:majorUnit val="4000000"/>
      </c:valAx>
      <c:valAx>
        <c:axId val="347814544"/>
        <c:scaling>
          <c:orientation val="minMax"/>
          <c:max val="20000000"/>
        </c:scaling>
        <c:delete val="0"/>
        <c:axPos val="r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815720"/>
        <c:crosses val="max"/>
        <c:crossBetween val="between"/>
        <c:majorUnit val="4000000"/>
      </c:valAx>
      <c:catAx>
        <c:axId val="347815720"/>
        <c:scaling>
          <c:orientation val="minMax"/>
        </c:scaling>
        <c:delete val="1"/>
        <c:axPos val="b"/>
        <c:majorTickMark val="none"/>
        <c:minorTickMark val="none"/>
        <c:tickLblPos val="nextTo"/>
        <c:crossAx val="347814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r>
              <a:rPr lang="en-US" sz="1800" b="1"/>
              <a:t>Influencers vs. Non-Influencers</a:t>
            </a:r>
          </a:p>
          <a:p>
            <a:pPr algn="ctr" rtl="0">
              <a:defRPr/>
            </a:pPr>
            <a:r>
              <a:rPr lang="en-US" i="1">
                <a:solidFill>
                  <a:srgbClr val="669900"/>
                </a:solidFill>
              </a:rPr>
              <a:t>Goal: 5 Influencers by 12.31.24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ilmer Light" panose="000004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COI!$E$60</c:f>
              <c:strCache>
                <c:ptCount val="1"/>
                <c:pt idx="0">
                  <c:v>Influencers vs. Popeyes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0A-344C-AA39-A76468F0CB2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0A-344C-AA39-A76468F0CB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COI!$E$61:$E$62</c:f>
              <c:strCache>
                <c:ptCount val="2"/>
                <c:pt idx="0">
                  <c:v>Influencer</c:v>
                </c:pt>
                <c:pt idx="1">
                  <c:v>Popeye</c:v>
                </c:pt>
              </c:strCache>
            </c:strRef>
          </c:cat>
          <c:val>
            <c:numRef>
              <c:f>COI!$F$61:$F$62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0A-344C-AA39-A76468F0CB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8548432"/>
        <c:axId val="488545296"/>
      </c:barChart>
      <c:catAx>
        <c:axId val="488548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r>
                  <a:rPr lang="en-US" sz="1400"/>
                  <a:t>Status of COIs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mer Light" panose="000004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endParaRPr lang="en-US"/>
          </a:p>
        </c:txPr>
        <c:crossAx val="488545296"/>
        <c:crosses val="autoZero"/>
        <c:auto val="1"/>
        <c:lblAlgn val="ctr"/>
        <c:lblOffset val="100"/>
        <c:noMultiLvlLbl val="0"/>
      </c:catAx>
      <c:valAx>
        <c:axId val="488545296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r>
                  <a:rPr lang="en-US" sz="1400"/>
                  <a:t># of COIs</a:t>
                </a:r>
              </a:p>
            </c:rich>
          </c:tx>
          <c:layout>
            <c:manualLayout>
              <c:xMode val="edge"/>
              <c:yMode val="edge"/>
              <c:x val="2.8786999897998818E-2"/>
              <c:y val="0.376158603681924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mer Light" panose="000004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endParaRPr lang="en-US"/>
          </a:p>
        </c:txPr>
        <c:crossAx val="488548432"/>
        <c:crosses val="autoZero"/>
        <c:crossBetween val="between"/>
        <c:majorUnit val="2"/>
      </c:valAx>
      <c:spPr>
        <a:noFill/>
        <a:ln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>
          <a:latin typeface="Gilmer Light" panose="000004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r>
              <a:rPr lang="en-US" sz="1800" b="1"/>
              <a:t>AUM from Advisor M&amp;A</a:t>
            </a:r>
          </a:p>
          <a:p>
            <a:pPr>
              <a:defRPr/>
            </a:pPr>
            <a:r>
              <a:rPr lang="en-US" i="1">
                <a:solidFill>
                  <a:srgbClr val="669900"/>
                </a:solidFill>
              </a:rPr>
              <a:t>Goal: $25-$75M by 12.31.23</a:t>
            </a:r>
          </a:p>
          <a:p>
            <a:pPr>
              <a:defRPr/>
            </a:pPr>
            <a:r>
              <a:rPr lang="en-US" i="1">
                <a:solidFill>
                  <a:srgbClr val="669900"/>
                </a:solidFill>
              </a:rPr>
              <a:t>            $50-$150M by 12.31.24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ilmer Light" panose="000004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'Advisor Acquisition'!$G$26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FF"/>
              </a:solidFill>
              <a:ln>
                <a:solidFill>
                  <a:srgbClr val="3F3F3F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'Advisor Acquisition'!$G$24:$H$24</c:f>
              <c:strCache>
                <c:ptCount val="1"/>
                <c:pt idx="0">
                  <c:v>AUM to DC</c:v>
                </c:pt>
              </c:strCache>
            </c:strRef>
          </c:cat>
          <c:val>
            <c:numRef>
              <c:f>'Advisor Acquisition'!$H$26</c:f>
              <c:numCache>
                <c:formatCode>"$"#,##0_);[Red]\("$"#,##0\)</c:formatCode>
                <c:ptCount val="1"/>
                <c:pt idx="0">
                  <c:v>75000000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2-DF4A-AA1E-7F4E70C49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546472"/>
        <c:axId val="488545688"/>
      </c:barChart>
      <c:barChart>
        <c:barDir val="col"/>
        <c:grouping val="stacked"/>
        <c:varyColors val="0"/>
        <c:ser>
          <c:idx val="0"/>
          <c:order val="0"/>
          <c:tx>
            <c:strRef>
              <c:f>'Advisor Acquisition'!$G$25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rgbClr val="FFFFFF"/>
              </a:solidFill>
              <a:ln>
                <a:solidFill>
                  <a:srgbClr val="3F3F3F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'Advisor Acquisition'!$G$24:$H$24</c:f>
              <c:strCache>
                <c:ptCount val="1"/>
                <c:pt idx="0">
                  <c:v>AUM to DC</c:v>
                </c:pt>
              </c:strCache>
            </c:strRef>
          </c:cat>
          <c:val>
            <c:numRef>
              <c:f>'Advisor Acquisition'!$H$25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2-DF4A-AA1E-7F4E70C49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542552"/>
        <c:axId val="488543728"/>
      </c:barChart>
      <c:catAx>
        <c:axId val="488546472"/>
        <c:scaling>
          <c:orientation val="minMax"/>
        </c:scaling>
        <c:delete val="0"/>
        <c:axPos val="b"/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endParaRPr lang="en-US"/>
          </a:p>
        </c:txPr>
        <c:crossAx val="488545688"/>
        <c:crosses val="autoZero"/>
        <c:auto val="1"/>
        <c:lblAlgn val="ctr"/>
        <c:lblOffset val="100"/>
        <c:noMultiLvlLbl val="0"/>
      </c:catAx>
      <c:valAx>
        <c:axId val="488545688"/>
        <c:scaling>
          <c:orientation val="minMax"/>
          <c:max val="1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r>
                  <a:rPr lang="en-US" sz="1800"/>
                  <a:t>AUM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mer Light" panose="000004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endParaRPr lang="en-US"/>
          </a:p>
        </c:txPr>
        <c:crossAx val="488546472"/>
        <c:crosses val="autoZero"/>
        <c:crossBetween val="between"/>
        <c:minorUnit val="20000000"/>
      </c:valAx>
      <c:valAx>
        <c:axId val="488543728"/>
        <c:scaling>
          <c:orientation val="minMax"/>
          <c:max val="100000000"/>
        </c:scaling>
        <c:delete val="1"/>
        <c:axPos val="r"/>
        <c:numFmt formatCode="&quot;$&quot;#,##0" sourceLinked="1"/>
        <c:majorTickMark val="out"/>
        <c:minorTickMark val="none"/>
        <c:tickLblPos val="nextTo"/>
        <c:crossAx val="488542552"/>
        <c:crosses val="max"/>
        <c:crossBetween val="between"/>
        <c:majorUnit val="20000000"/>
      </c:valAx>
      <c:catAx>
        <c:axId val="488542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54372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2"/>
          </a:solidFill>
        </a:ln>
        <a:effectLst/>
      </c:spPr>
    </c:plotArea>
    <c:legend>
      <c:legendPos val="b"/>
      <c:layout>
        <c:manualLayout>
          <c:xMode val="edge"/>
          <c:yMode val="edge"/>
          <c:x val="0.175122195418381"/>
          <c:y val="0.89409667541557303"/>
          <c:w val="0.79003371580955484"/>
          <c:h val="6.0753943907121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ilmer Light" panose="000004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>
          <a:latin typeface="Gilmer Light" panose="000004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kumimoji="0" lang="en-US" sz="1800" b="1" i="0" u="none" strike="noStrike" kern="1200" cap="none" spc="0" normalizeH="0" baseline="0">
              <a:ln>
                <a:noFill/>
              </a:ln>
              <a:solidFill>
                <a:srgbClr val="3F3F3F">
                  <a:lumMod val="65000"/>
                  <a:lumOff val="35000"/>
                </a:srgbClr>
              </a:solidFill>
              <a:effectLst/>
              <a:uLnTx/>
              <a:uFillTx/>
              <a:latin typeface="Gilmer Light" panose="000004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'Advisor Acquisition'!$A$24:$B$24</c:f>
              <c:strCache>
                <c:ptCount val="1"/>
                <c:pt idx="0">
                  <c:v>Advisor M&amp;A Pipeline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9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79-B040-94E7-957FF0CA3C0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79-B040-94E7-957FF0CA3C0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79-B040-94E7-957FF0CA3C0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79-B040-94E7-957FF0CA3C0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79-B040-94E7-957FF0CA3C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'Advisor Acquisition'!$A$25:$A$29</c:f>
              <c:strCache>
                <c:ptCount val="5"/>
                <c:pt idx="0">
                  <c:v>High</c:v>
                </c:pt>
                <c:pt idx="1">
                  <c:v>Medium</c:v>
                </c:pt>
                <c:pt idx="2">
                  <c:v>Low</c:v>
                </c:pt>
                <c:pt idx="3">
                  <c:v>None</c:v>
                </c:pt>
                <c:pt idx="4">
                  <c:v>Unknown</c:v>
                </c:pt>
              </c:strCache>
            </c:strRef>
          </c:cat>
          <c:val>
            <c:numRef>
              <c:f>'Advisor Acquisition'!$B$25:$B$29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79-B040-94E7-957FF0CA3C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8544120"/>
        <c:axId val="488546864"/>
      </c:barChart>
      <c:catAx>
        <c:axId val="488544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</a:rPr>
                  <a:t>Level</a:t>
                </a:r>
                <a:r>
                  <a:rPr lang="en-US" sz="1400" baseline="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</a:rPr>
                  <a:t> of Interest</a:t>
                </a:r>
                <a:endParaRPr lang="en-US" sz="1400">
                  <a:solidFill>
                    <a:schemeClr val="bg2">
                      <a:lumMod val="50000"/>
                    </a:schemeClr>
                  </a:solidFill>
                  <a:latin typeface="Gilmer Light" panose="00000400000000000000" pitchFamily="50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Gilmer Light" panose="00000400000000000000" pitchFamily="50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546864"/>
        <c:crosses val="autoZero"/>
        <c:auto val="1"/>
        <c:lblAlgn val="ctr"/>
        <c:lblOffset val="100"/>
        <c:noMultiLvlLbl val="0"/>
      </c:catAx>
      <c:valAx>
        <c:axId val="48854686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0000"/>
                        <a:lumOff val="40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0">
                    <a:solidFill>
                      <a:schemeClr val="tx1">
                        <a:lumMod val="60000"/>
                        <a:lumOff val="40000"/>
                      </a:schemeClr>
                    </a:solidFill>
                    <a:latin typeface="Gilmer Light" panose="00000400000000000000" pitchFamily="50" charset="0"/>
                  </a:rPr>
                  <a:t>#</a:t>
                </a:r>
                <a:r>
                  <a:rPr lang="en-US" sz="1600" b="0" baseline="0">
                    <a:solidFill>
                      <a:schemeClr val="tx1">
                        <a:lumMod val="60000"/>
                        <a:lumOff val="40000"/>
                      </a:schemeClr>
                    </a:solidFill>
                    <a:latin typeface="Gilmer Light" panose="00000400000000000000" pitchFamily="50" charset="0"/>
                  </a:rPr>
                  <a:t> of Advisors</a:t>
                </a:r>
                <a:endParaRPr lang="en-US" sz="1600" b="0">
                  <a:solidFill>
                    <a:schemeClr val="tx1">
                      <a:lumMod val="60000"/>
                      <a:lumOff val="40000"/>
                    </a:schemeClr>
                  </a:solidFill>
                  <a:latin typeface="Gilmer Light" panose="00000400000000000000" pitchFamily="50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0000"/>
                      <a:lumOff val="40000"/>
                    </a:schemeClr>
                  </a:solidFill>
                  <a:latin typeface="Gilmer Light" panose="00000400000000000000" pitchFamily="50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544120"/>
        <c:crosses val="autoZero"/>
        <c:crossBetween val="between"/>
        <c:majorUnit val="5"/>
      </c:valAx>
      <c:spPr>
        <a:noFill/>
        <a:ln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ilmer Light" panose="00000400000000000000" pitchFamily="50" charset="0"/>
                <a:ea typeface="+mn-ea"/>
                <a:cs typeface="Arial" panose="020B0604020202020204" pitchFamily="34" charset="0"/>
              </a:defRPr>
            </a:pPr>
            <a:r>
              <a:rPr lang="en-US" sz="180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</a:rPr>
              <a:t>DC Makes an Offer</a:t>
            </a:r>
          </a:p>
          <a:p>
            <a:pPr>
              <a:defRPr sz="1400">
                <a:latin typeface="Gilmer Light" panose="00000400000000000000" pitchFamily="50" charset="0"/>
              </a:defRPr>
            </a:pPr>
            <a:r>
              <a:rPr lang="en-US" sz="1300" i="1">
                <a:solidFill>
                  <a:srgbClr val="669900"/>
                </a:solidFill>
                <a:latin typeface="Gilmer Light" panose="00000400000000000000" pitchFamily="50" charset="0"/>
              </a:rPr>
              <a:t>Goal: Make 1 offer by 12.31.23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ilmer Light" panose="00000400000000000000" pitchFamily="50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'Advisor Acquisition'!$C$24:$D$24</c:f>
              <c:strCache>
                <c:ptCount val="1"/>
                <c:pt idx="0">
                  <c:v>DC Makes an Offer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9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5B-7648-A126-A9BFCD805560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5B-7648-A126-A9BFCD805560}"/>
              </c:ext>
            </c:extLst>
          </c:dPt>
          <c:cat>
            <c:strRef>
              <c:f>'Advisor Acquisition'!$C$25:$C$26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'Advisor Acquisition'!$D$25:$D$26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5B-7648-A126-A9BFCD805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547648"/>
        <c:axId val="488549608"/>
      </c:barChart>
      <c:catAx>
        <c:axId val="488547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Gilmer Light" panose="00000400000000000000" pitchFamily="50" charset="0"/>
                  </a:rPr>
                  <a:t>DC's Offer Decisions</a:t>
                </a:r>
                <a:r>
                  <a:rPr lang="en-US" sz="1400" baseline="0">
                    <a:latin typeface="Gilmer Light" panose="00000400000000000000" pitchFamily="50" charset="0"/>
                  </a:rPr>
                  <a:t> </a:t>
                </a:r>
                <a:endParaRPr lang="en-US" sz="1400">
                  <a:latin typeface="Gilmer Light" panose="00000400000000000000" pitchFamily="50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Gilmer Light" panose="00000400000000000000" pitchFamily="50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mer Light" panose="00000400000000000000" pitchFamily="50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549608"/>
        <c:crosses val="autoZero"/>
        <c:auto val="1"/>
        <c:lblAlgn val="ctr"/>
        <c:lblOffset val="100"/>
        <c:noMultiLvlLbl val="0"/>
      </c:catAx>
      <c:valAx>
        <c:axId val="48854960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600" b="0" i="0" u="none" strike="noStrike" kern="1200" baseline="0">
                    <a:solidFill>
                      <a:schemeClr val="tx1">
                        <a:lumMod val="60000"/>
                        <a:lumOff val="40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0" i="0" u="none" strike="noStrike" kern="1200" baseline="0">
                    <a:solidFill>
                      <a:schemeClr val="tx1">
                        <a:lumMod val="60000"/>
                        <a:lumOff val="40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rPr>
                  <a:t># of Offers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US" sz="1600" b="0" i="0" u="none" strike="noStrike" kern="1200" baseline="0">
                  <a:solidFill>
                    <a:schemeClr val="tx1">
                      <a:lumMod val="60000"/>
                      <a:lumOff val="40000"/>
                    </a:schemeClr>
                  </a:solidFill>
                  <a:latin typeface="Gilmer Light" panose="00000400000000000000" pitchFamily="50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mer Light" panose="00000400000000000000" pitchFamily="50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5476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/>
                </a:solidFill>
                <a:latin typeface="Gilmer Light" panose="00000400000000000000" pitchFamily="50" charset="0"/>
                <a:ea typeface="+mn-ea"/>
                <a:cs typeface="Arial" panose="020B0604020202020204" pitchFamily="34" charset="0"/>
              </a:defRPr>
            </a:pPr>
            <a:r>
              <a:rPr lang="en-US" sz="180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</a:rPr>
              <a:t>Results of Offers Made</a:t>
            </a:r>
            <a:endParaRPr lang="en-US" sz="2000">
              <a:solidFill>
                <a:schemeClr val="bg2">
                  <a:lumMod val="50000"/>
                </a:schemeClr>
              </a:solidFill>
              <a:latin typeface="Gilmer Light" panose="00000400000000000000" pitchFamily="50" charset="0"/>
            </a:endParaRPr>
          </a:p>
          <a:p>
            <a:pPr>
              <a:defRPr>
                <a:latin typeface="Gilmer Light" panose="00000400000000000000" pitchFamily="50" charset="0"/>
              </a:defRPr>
            </a:pPr>
            <a:r>
              <a:rPr lang="en-US" sz="1300" i="1">
                <a:solidFill>
                  <a:srgbClr val="669900"/>
                </a:solidFill>
                <a:latin typeface="Gilmer Light" panose="00000400000000000000" pitchFamily="50" charset="0"/>
              </a:rPr>
              <a:t>Goal: 1 Accepted by 12.31.2023 </a:t>
            </a:r>
          </a:p>
          <a:p>
            <a:pPr>
              <a:defRPr>
                <a:latin typeface="Gilmer Light" panose="00000400000000000000" pitchFamily="50" charset="0"/>
              </a:defRPr>
            </a:pPr>
            <a:r>
              <a:rPr lang="en-US" sz="1300" i="1">
                <a:solidFill>
                  <a:srgbClr val="669900"/>
                </a:solidFill>
                <a:latin typeface="Gilmer Light" panose="00000400000000000000" pitchFamily="50" charset="0"/>
              </a:rPr>
              <a:t>         2 Accepted</a:t>
            </a:r>
            <a:r>
              <a:rPr lang="en-US" sz="1300" i="1" baseline="0">
                <a:solidFill>
                  <a:srgbClr val="669900"/>
                </a:solidFill>
                <a:latin typeface="Gilmer Light" panose="00000400000000000000" pitchFamily="50" charset="0"/>
              </a:rPr>
              <a:t> by 12.31.2024</a:t>
            </a:r>
            <a:endParaRPr lang="en-US" sz="1300" i="1">
              <a:solidFill>
                <a:srgbClr val="669900"/>
              </a:solidFill>
              <a:latin typeface="Gilmer Light" panose="00000400000000000000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Gilmer Light" panose="00000400000000000000" pitchFamily="50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'Advisor Acquisition'!$E$24:$F$24</c:f>
              <c:strCache>
                <c:ptCount val="1"/>
                <c:pt idx="0">
                  <c:v>Results of Offers Made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A0-534E-9787-2B6E58670D83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A0-534E-9787-2B6E58670D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'Advisor Acquisition'!$E$25:$E$27</c:f>
              <c:strCache>
                <c:ptCount val="3"/>
                <c:pt idx="0">
                  <c:v>Accepted</c:v>
                </c:pt>
                <c:pt idx="1">
                  <c:v>Declined</c:v>
                </c:pt>
                <c:pt idx="2">
                  <c:v>Rescinded</c:v>
                </c:pt>
              </c:strCache>
            </c:strRef>
          </c:cat>
          <c:val>
            <c:numRef>
              <c:f>'Advisor Acquisition'!$F$25:$F$27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A0-534E-9787-2B6E58670D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8542944"/>
        <c:axId val="488991312"/>
      </c:barChart>
      <c:catAx>
        <c:axId val="488542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baseline="0">
                    <a:solidFill>
                      <a:srgbClr val="3F3F3F"/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 i="0" u="none" strike="noStrike" kern="1200" baseline="0">
                    <a:solidFill>
                      <a:srgbClr val="3F3F3F"/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rPr>
                  <a:t>Offer Results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baseline="0">
                  <a:solidFill>
                    <a:srgbClr val="3F3F3F"/>
                  </a:solidFill>
                  <a:latin typeface="Gilmer Light" panose="00000400000000000000" pitchFamily="50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chemeClr val="tx1"/>
                </a:solidFill>
                <a:latin typeface="Gilmer Light" panose="00000400000000000000" pitchFamily="50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991312"/>
        <c:crosses val="autoZero"/>
        <c:auto val="1"/>
        <c:lblAlgn val="ctr"/>
        <c:lblOffset val="100"/>
        <c:noMultiLvlLbl val="0"/>
      </c:catAx>
      <c:valAx>
        <c:axId val="48899131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600" b="0" i="0" u="none" strike="noStrike" kern="1200" baseline="0">
                    <a:solidFill>
                      <a:schemeClr val="tx1">
                        <a:lumMod val="60000"/>
                        <a:lumOff val="40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0" i="0" u="none" strike="noStrike" kern="1200" baseline="0">
                    <a:solidFill>
                      <a:schemeClr val="tx1">
                        <a:lumMod val="60000"/>
                        <a:lumOff val="40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 panose="020B0604020202020204" pitchFamily="34" charset="0"/>
                  </a:rPr>
                  <a:t># of Results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US" sz="1600" b="0" i="0" u="none" strike="noStrike" kern="1200" baseline="0">
                  <a:solidFill>
                    <a:schemeClr val="tx1">
                      <a:lumMod val="60000"/>
                      <a:lumOff val="40000"/>
                    </a:schemeClr>
                  </a:solidFill>
                  <a:latin typeface="Gilmer Light" panose="00000400000000000000" pitchFamily="50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Gilmer Light" panose="00000400000000000000" pitchFamily="50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5429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r>
              <a:rPr lang="en-US" sz="1800" b="1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</a:rPr>
              <a:t>Specialty Introductions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bg2">
                  <a:lumMod val="50000"/>
                </a:schemeClr>
              </a:solidFill>
              <a:latin typeface="Gilmer Light" panose="000004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effectLst>
              <a:outerShdw blurRad="50800" dist="38100" dir="2700000" sx="94000" sy="94000" algn="tl" rotWithShape="0">
                <a:prstClr val="black">
                  <a:alpha val="50000"/>
                </a:prstClr>
              </a:outerShdw>
            </a:effectLst>
          </c:spPr>
          <c:invertIfNegative val="1"/>
          <c:dPt>
            <c:idx val="0"/>
            <c:invertIfNegative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2700000" sx="94000" sy="94000" algn="tl" rotWithShape="0">
                  <a:prstClr val="black">
                    <a:alpha val="5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84-D542-AEDF-FAF514673680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2700000" sx="94000" sy="94000" algn="tl" rotWithShape="0">
                  <a:prstClr val="black">
                    <a:alpha val="5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84-D542-AEDF-FAF514673680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2700000" sx="94000" sy="94000" algn="tl" rotWithShape="0">
                  <a:prstClr val="black">
                    <a:alpha val="5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84-D542-AEDF-FAF5146736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Status'!$A$36:$A$38</c:f>
              <c:strCache>
                <c:ptCount val="3"/>
                <c:pt idx="0">
                  <c:v>Retirement</c:v>
                </c:pt>
                <c:pt idx="1">
                  <c:v>Women w/ Loss</c:v>
                </c:pt>
                <c:pt idx="2">
                  <c:v>Business Owners</c:v>
                </c:pt>
              </c:strCache>
            </c:strRef>
          </c:cat>
          <c:val>
            <c:numRef>
              <c:f>'Source, Adv Source, &amp; Status'!$B$36:$B$38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84-D542-AEDF-FAF51467368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0364792"/>
        <c:axId val="350366752"/>
      </c:barChart>
      <c:catAx>
        <c:axId val="350364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r>
                  <a:rPr lang="en-US" sz="1050">
                    <a:latin typeface="Gilmer Light" panose="00000400000000000000" pitchFamily="50" charset="0"/>
                  </a:rPr>
                  <a:t>Speciality Markets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mer Light" panose="000004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endParaRPr lang="en-US"/>
          </a:p>
        </c:txPr>
        <c:crossAx val="350366752"/>
        <c:crosses val="autoZero"/>
        <c:auto val="1"/>
        <c:lblAlgn val="ctr"/>
        <c:lblOffset val="100"/>
        <c:noMultiLvlLbl val="1"/>
      </c:catAx>
      <c:valAx>
        <c:axId val="35036675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/>
                  </a:defRPr>
                </a:pPr>
                <a:r>
                  <a:rPr lang="en-US" sz="14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/>
                  </a:rPr>
                  <a:t># of Introductions Made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baseline="0">
                  <a:solidFill>
                    <a:schemeClr val="bg2">
                      <a:lumMod val="75000"/>
                    </a:schemeClr>
                  </a:solidFill>
                  <a:latin typeface="Gilmer Light" panose="00000400000000000000" pitchFamily="50" charset="0"/>
                  <a:ea typeface="+mn-ea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endParaRPr lang="en-US"/>
          </a:p>
        </c:txPr>
        <c:crossAx val="350364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</a:rPr>
              <a:t>Qualified Intros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9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AE-E847-A234-E5CD66B8847C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AE-E847-A234-E5CD66B8847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AE-E847-A234-E5CD66B884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Status'!$G$36:$G$38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Unknown</c:v>
                </c:pt>
              </c:strCache>
            </c:strRef>
          </c:cat>
          <c:val>
            <c:numRef>
              <c:f>'Source, Adv Source, &amp; Status'!$H$36:$H$38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AE-E847-A234-E5CD66B8847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0368712"/>
        <c:axId val="350367536"/>
      </c:barChart>
      <c:catAx>
        <c:axId val="350368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Qualifiied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367536"/>
        <c:crosses val="autoZero"/>
        <c:auto val="1"/>
        <c:lblAlgn val="ctr"/>
        <c:lblOffset val="100"/>
        <c:noMultiLvlLbl val="0"/>
      </c:catAx>
      <c:valAx>
        <c:axId val="35036753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/>
                  </a:defRPr>
                </a:pPr>
                <a:r>
                  <a:rPr lang="en-US" sz="14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/>
                  </a:rPr>
                  <a:t># of Introductions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baseline="0">
                  <a:solidFill>
                    <a:schemeClr val="bg2">
                      <a:lumMod val="75000"/>
                    </a:schemeClr>
                  </a:solidFill>
                  <a:latin typeface="Gilmer Light" panose="00000400000000000000" pitchFamily="50" charset="0"/>
                  <a:ea typeface="+mn-ea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endParaRPr lang="en-US"/>
          </a:p>
        </c:txPr>
        <c:crossAx val="350368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rial"/>
                <a:cs typeface="Arial"/>
              </a:defRPr>
            </a:pPr>
            <a:r>
              <a:rPr lang="en-US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cs typeface="Arial"/>
              </a:rPr>
              <a:t>Prospect</a:t>
            </a:r>
            <a:r>
              <a:rPr lang="en-US" baseline="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cs typeface="Arial"/>
              </a:rPr>
              <a:t> Status</a:t>
            </a:r>
          </a:p>
          <a:p>
            <a:pPr>
              <a:defRPr>
                <a:latin typeface="Arial"/>
                <a:cs typeface="Arial"/>
              </a:defRPr>
            </a:pPr>
            <a:r>
              <a:rPr lang="en-US" sz="1200" i="1" baseline="0">
                <a:solidFill>
                  <a:srgbClr val="669900"/>
                </a:solidFill>
                <a:latin typeface="Gilmer Light" panose="00000400000000000000" pitchFamily="50" charset="0"/>
                <a:cs typeface="Arial"/>
              </a:rPr>
              <a:t>Goal: # of New Clients (HH) 30 A/B by 12.31.23</a:t>
            </a:r>
            <a:endParaRPr lang="en-US" sz="1200" i="1">
              <a:solidFill>
                <a:srgbClr val="669900"/>
              </a:solidFill>
              <a:latin typeface="Gilmer Light" panose="00000400000000000000" pitchFamily="50" charset="0"/>
              <a:cs typeface="Arial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2FAE-D94B-A984-FBB17796726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FAE-D94B-A984-FBB177967264}"/>
              </c:ext>
            </c:extLst>
          </c:dPt>
          <c:dPt>
            <c:idx val="2"/>
            <c:invertIfNegative val="0"/>
            <c:bubble3D val="0"/>
            <c:spPr>
              <a:solidFill>
                <a:srgbClr val="669900"/>
              </a:solidFill>
            </c:spPr>
            <c:extLst>
              <c:ext xmlns:c16="http://schemas.microsoft.com/office/drawing/2014/chart" uri="{C3380CC4-5D6E-409C-BE32-E72D297353CC}">
                <c16:uniqueId val="{00000005-2FAE-D94B-A984-FBB17796726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FAE-D94B-A984-FBB177967264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2FAE-D94B-A984-FBB17796726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FAE-D94B-A984-FBB1779672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Gilmer Light" panose="00000400000000000000" pitchFamily="50" charset="0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Status'!$I$36:$I$41</c:f>
              <c:strCache>
                <c:ptCount val="6"/>
                <c:pt idx="0">
                  <c:v>Lead</c:v>
                </c:pt>
                <c:pt idx="1">
                  <c:v>Prospect</c:v>
                </c:pt>
                <c:pt idx="2">
                  <c:v>On-Boarding</c:v>
                </c:pt>
                <c:pt idx="3">
                  <c:v>Client</c:v>
                </c:pt>
                <c:pt idx="4">
                  <c:v>No Go</c:v>
                </c:pt>
                <c:pt idx="5">
                  <c:v>N/A</c:v>
                </c:pt>
              </c:strCache>
            </c:strRef>
          </c:cat>
          <c:val>
            <c:numRef>
              <c:f>'Source, Adv Source, &amp; Status'!$J$36:$J$41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AE-D94B-A984-FBB17796726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0367928"/>
        <c:axId val="350363224"/>
      </c:barChart>
      <c:catAx>
        <c:axId val="35036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  <a:cs typeface="Arial"/>
                  </a:defRPr>
                </a:pPr>
                <a:r>
                  <a:rPr lang="en-US" sz="140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  <a:cs typeface="Arial"/>
                  </a:rPr>
                  <a:t>Pipeline</a:t>
                </a:r>
                <a:r>
                  <a:rPr lang="en-US" sz="1400" baseline="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  <a:cs typeface="Arial"/>
                  </a:rPr>
                  <a:t> Status</a:t>
                </a:r>
                <a:endParaRPr lang="en-US" sz="1400">
                  <a:solidFill>
                    <a:schemeClr val="bg2">
                      <a:lumMod val="50000"/>
                    </a:schemeClr>
                  </a:solidFill>
                  <a:latin typeface="Gilmer Light" panose="00000400000000000000" pitchFamily="50" charset="0"/>
                  <a:cs typeface="Arial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b="1">
                <a:latin typeface="Gilmer Light" panose="00000400000000000000" pitchFamily="50" charset="0"/>
                <a:cs typeface="Arial"/>
              </a:defRPr>
            </a:pPr>
            <a:endParaRPr lang="en-US"/>
          </a:p>
        </c:txPr>
        <c:crossAx val="350363224"/>
        <c:crosses val="autoZero"/>
        <c:auto val="1"/>
        <c:lblAlgn val="ctr"/>
        <c:lblOffset val="100"/>
        <c:noMultiLvlLbl val="0"/>
      </c:catAx>
      <c:valAx>
        <c:axId val="350363224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cs typeface="Arial"/>
                  </a:defRPr>
                </a:pPr>
                <a:r>
                  <a:rPr lang="en-US" sz="140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cs typeface="Arial"/>
                  </a:rPr>
                  <a:t>#</a:t>
                </a:r>
                <a:r>
                  <a:rPr lang="en-US" sz="1400" baseline="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cs typeface="Arial"/>
                  </a:rPr>
                  <a:t> of Prosects</a:t>
                </a:r>
                <a:endParaRPr lang="en-US" sz="1400">
                  <a:solidFill>
                    <a:schemeClr val="bg2">
                      <a:lumMod val="75000"/>
                    </a:schemeClr>
                  </a:solidFill>
                  <a:latin typeface="Gilmer Light" panose="00000400000000000000" pitchFamily="50" charset="0"/>
                  <a:cs typeface="Arial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>
                <a:latin typeface="Gilmer Light" panose="00000400000000000000" pitchFamily="50" charset="0"/>
              </a:defRPr>
            </a:pPr>
            <a:endParaRPr lang="en-US"/>
          </a:p>
        </c:txPr>
        <c:crossAx val="350367928"/>
        <c:crosses val="autoZero"/>
        <c:crossBetween val="between"/>
        <c:majorUnit val="5"/>
        <c:minorUnit val="1"/>
      </c:valAx>
    </c:plotArea>
    <c:plotVisOnly val="1"/>
    <c:dispBlanksAs val="gap"/>
    <c:showDLblsOverMax val="0"/>
  </c:chart>
  <c:spPr>
    <a:ln>
      <a:solidFill>
        <a:schemeClr val="bg2"/>
      </a:solidFill>
    </a:ln>
  </c:sp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bg2">
                    <a:lumMod val="50000"/>
                  </a:schemeClr>
                </a:solidFill>
                <a:latin typeface="Arial"/>
                <a:cs typeface="Arial"/>
              </a:defRPr>
            </a:pPr>
            <a:r>
              <a:rPr lang="en-US" sz="1800" baseline="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cs typeface="Arial"/>
              </a:rPr>
              <a:t> Team Member Results  </a:t>
            </a:r>
            <a:endParaRPr lang="en-US" sz="1800">
              <a:solidFill>
                <a:schemeClr val="bg2">
                  <a:lumMod val="50000"/>
                </a:schemeClr>
              </a:solidFill>
              <a:latin typeface="Gilmer Light" panose="00000400000000000000" pitchFamily="50" charset="0"/>
              <a:cs typeface="Arial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'Source, Adv Source, &amp; Status'!$E$35:$F$35</c:f>
              <c:strCache>
                <c:ptCount val="1"/>
                <c:pt idx="0">
                  <c:v> ADV Source Totals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Gilmer Light" panose="00000400000000000000" pitchFamily="50" charset="0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Status'!$E$50:$E$53</c:f>
              <c:strCache>
                <c:ptCount val="4"/>
                <c:pt idx="0">
                  <c:v>Adv1</c:v>
                </c:pt>
                <c:pt idx="1">
                  <c:v>Adv2</c:v>
                </c:pt>
                <c:pt idx="2">
                  <c:v>Adv3</c:v>
                </c:pt>
                <c:pt idx="3">
                  <c:v>Adv4</c:v>
                </c:pt>
              </c:strCache>
            </c:strRef>
          </c:cat>
          <c:val>
            <c:numRef>
              <c:f>'Source, Adv Source, &amp; Status'!$F$36:$F$39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0-174A-82CE-102FB79D7F8A}"/>
            </c:ext>
          </c:extLst>
        </c:ser>
        <c:ser>
          <c:idx val="0"/>
          <c:order val="1"/>
          <c:tx>
            <c:strRef>
              <c:f>'Source, Adv Source, &amp; Status'!$E$42:$F$42</c:f>
              <c:strCache>
                <c:ptCount val="1"/>
                <c:pt idx="0">
                  <c:v>Qualified by Source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Gilmer Light" panose="00000400000000000000" pitchFamily="50" charset="0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Status'!$E$50:$E$53</c:f>
              <c:strCache>
                <c:ptCount val="4"/>
                <c:pt idx="0">
                  <c:v>Adv1</c:v>
                </c:pt>
                <c:pt idx="1">
                  <c:v>Adv2</c:v>
                </c:pt>
                <c:pt idx="2">
                  <c:v>Adv3</c:v>
                </c:pt>
                <c:pt idx="3">
                  <c:v>Adv4</c:v>
                </c:pt>
              </c:strCache>
            </c:strRef>
          </c:cat>
          <c:val>
            <c:numRef>
              <c:f>'Source, Adv Source, &amp; Status'!$F$43:$F$46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0-174A-82CE-102FB79D7F8A}"/>
            </c:ext>
          </c:extLst>
        </c:ser>
        <c:ser>
          <c:idx val="2"/>
          <c:order val="2"/>
          <c:tx>
            <c:strRef>
              <c:f>'Source, Adv Source, &amp; Status'!$E$49:$F$49</c:f>
              <c:strCache>
                <c:ptCount val="1"/>
                <c:pt idx="0">
                  <c:v>Closed by Source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Gilmer Light" panose="00000400000000000000" pitchFamily="50" charset="0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Status'!$E$50:$E$53</c:f>
              <c:strCache>
                <c:ptCount val="4"/>
                <c:pt idx="0">
                  <c:v>Adv1</c:v>
                </c:pt>
                <c:pt idx="1">
                  <c:v>Adv2</c:v>
                </c:pt>
                <c:pt idx="2">
                  <c:v>Adv3</c:v>
                </c:pt>
                <c:pt idx="3">
                  <c:v>Adv4</c:v>
                </c:pt>
              </c:strCache>
            </c:strRef>
          </c:cat>
          <c:val>
            <c:numRef>
              <c:f>'Source, Adv Source, &amp; Status'!$F$50:$F$53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0-174A-82CE-102FB79D7F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0362440"/>
        <c:axId val="350366360"/>
      </c:barChart>
      <c:catAx>
        <c:axId val="350362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</a:defRPr>
                </a:pPr>
                <a:r>
                  <a:rPr lang="en-US" sz="1600" baseline="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  <a:cs typeface="Arial"/>
                  </a:rPr>
                  <a:t> Team Member</a:t>
                </a:r>
                <a:endParaRPr lang="en-US" sz="1600">
                  <a:solidFill>
                    <a:schemeClr val="bg2">
                      <a:lumMod val="50000"/>
                    </a:schemeClr>
                  </a:solidFill>
                  <a:latin typeface="Gilmer Light" panose="00000400000000000000" pitchFamily="50" charset="0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40079660418180596"/>
              <c:y val="0.817263157894736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b="1">
                <a:latin typeface="Gilmer Light" panose="00000400000000000000" pitchFamily="50" charset="0"/>
              </a:defRPr>
            </a:pPr>
            <a:endParaRPr lang="en-US"/>
          </a:p>
        </c:txPr>
        <c:crossAx val="350366360"/>
        <c:crosses val="autoZero"/>
        <c:auto val="1"/>
        <c:lblAlgn val="ctr"/>
        <c:lblOffset val="100"/>
        <c:noMultiLvlLbl val="0"/>
      </c:catAx>
      <c:valAx>
        <c:axId val="350366360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 algn="ctr" rtl="0">
                  <a:defRPr lang="en-US" sz="14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/>
                  </a:defRPr>
                </a:pPr>
                <a:r>
                  <a:rPr lang="en-US" sz="14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/>
                  </a:rPr>
                  <a:t># of Sourced Prospects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>
                <a:latin typeface="Gilmer Light" panose="00000400000000000000" pitchFamily="50" charset="0"/>
              </a:defRPr>
            </a:pPr>
            <a:endParaRPr lang="en-US"/>
          </a:p>
        </c:txPr>
        <c:crossAx val="350362440"/>
        <c:crosses val="autoZero"/>
        <c:crossBetween val="between"/>
        <c:majorUnit val="5"/>
        <c:minorUnit val="1"/>
      </c:valAx>
    </c:plotArea>
    <c:legend>
      <c:legendPos val="b"/>
      <c:overlay val="0"/>
      <c:txPr>
        <a:bodyPr/>
        <a:lstStyle/>
        <a:p>
          <a:pPr>
            <a:defRPr>
              <a:latin typeface="Gilmer Light" panose="00000400000000000000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2"/>
      </a:solidFill>
    </a:ln>
  </c:spPr>
  <c:printSettings>
    <c:headerFooter/>
    <c:pageMargins b="1" l="0.75" r="0.75" t="1" header="0.5" footer="0.5"/>
    <c:pageSetup orientation="portrait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ea typeface="+mn-ea"/>
                <a:cs typeface="Arial"/>
              </a:defRPr>
            </a:pPr>
            <a:r>
              <a:rPr lang="en-US" sz="18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ea typeface="+mn-ea"/>
                <a:cs typeface="Arial"/>
              </a:rPr>
              <a:t>Introductions by BD Campaigns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'Source, Adv Source, &amp; Status'!$C$35:$D$35</c:f>
              <c:strCache>
                <c:ptCount val="1"/>
                <c:pt idx="0">
                  <c:v>Source Type Totals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Gilmer Light" panose="00000400000000000000" pitchFamily="50" charset="0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Status'!$C$50:$C$55</c:f>
              <c:strCache>
                <c:ptCount val="6"/>
                <c:pt idx="0">
                  <c:v>Client</c:v>
                </c:pt>
                <c:pt idx="1">
                  <c:v>COI</c:v>
                </c:pt>
                <c:pt idx="2">
                  <c:v>Digital </c:v>
                </c:pt>
                <c:pt idx="3">
                  <c:v>Networking</c:v>
                </c:pt>
                <c:pt idx="4">
                  <c:v>Presentation</c:v>
                </c:pt>
                <c:pt idx="5">
                  <c:v>Natural Market</c:v>
                </c:pt>
              </c:strCache>
            </c:strRef>
          </c:cat>
          <c:val>
            <c:numRef>
              <c:f>'Source, Adv Source, &amp; Status'!$D$36:$D$41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D-4F4D-87B2-E0AB9401CBC5}"/>
            </c:ext>
          </c:extLst>
        </c:ser>
        <c:ser>
          <c:idx val="0"/>
          <c:order val="1"/>
          <c:tx>
            <c:strRef>
              <c:f>'Source, Adv Source, &amp; Status'!$C$42:$D$42</c:f>
              <c:strCache>
                <c:ptCount val="1"/>
                <c:pt idx="0">
                  <c:v>Qualified by Source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Gilmer Light" panose="00000400000000000000" pitchFamily="50" charset="0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Status'!$C$50:$C$55</c:f>
              <c:strCache>
                <c:ptCount val="6"/>
                <c:pt idx="0">
                  <c:v>Client</c:v>
                </c:pt>
                <c:pt idx="1">
                  <c:v>COI</c:v>
                </c:pt>
                <c:pt idx="2">
                  <c:v>Digital </c:v>
                </c:pt>
                <c:pt idx="3">
                  <c:v>Networking</c:v>
                </c:pt>
                <c:pt idx="4">
                  <c:v>Presentation</c:v>
                </c:pt>
                <c:pt idx="5">
                  <c:v>Natural Market</c:v>
                </c:pt>
              </c:strCache>
            </c:strRef>
          </c:cat>
          <c:val>
            <c:numRef>
              <c:f>'Source, Adv Source, &amp; Status'!$D$43:$D$48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D-4F4D-87B2-E0AB9401CBC5}"/>
            </c:ext>
          </c:extLst>
        </c:ser>
        <c:ser>
          <c:idx val="1"/>
          <c:order val="2"/>
          <c:tx>
            <c:strRef>
              <c:f>'Source, Adv Source, &amp; Status'!$C$49:$D$49</c:f>
              <c:strCache>
                <c:ptCount val="1"/>
                <c:pt idx="0">
                  <c:v>Closed by Source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Gilmer Light" panose="00000400000000000000" pitchFamily="50" charset="0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Status'!$C$50:$C$55</c:f>
              <c:strCache>
                <c:ptCount val="6"/>
                <c:pt idx="0">
                  <c:v>Client</c:v>
                </c:pt>
                <c:pt idx="1">
                  <c:v>COI</c:v>
                </c:pt>
                <c:pt idx="2">
                  <c:v>Digital </c:v>
                </c:pt>
                <c:pt idx="3">
                  <c:v>Networking</c:v>
                </c:pt>
                <c:pt idx="4">
                  <c:v>Presentation</c:v>
                </c:pt>
                <c:pt idx="5">
                  <c:v>Natural Market</c:v>
                </c:pt>
              </c:strCache>
            </c:strRef>
          </c:cat>
          <c:val>
            <c:numRef>
              <c:f>'Source, Adv Source, &amp; Status'!$D$50:$D$55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5D-4F4D-87B2-E0AB9401CB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0364400"/>
        <c:axId val="350365184"/>
      </c:barChart>
      <c:catAx>
        <c:axId val="3503644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60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  <a:cs typeface="Arial"/>
                  </a:defRPr>
                </a:pPr>
                <a:r>
                  <a:rPr lang="en-US" sz="160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  <a:cs typeface="Arial"/>
                  </a:rPr>
                  <a:t>Business</a:t>
                </a:r>
                <a:r>
                  <a:rPr lang="en-US" sz="1600" baseline="0">
                    <a:solidFill>
                      <a:schemeClr val="bg2">
                        <a:lumMod val="50000"/>
                      </a:schemeClr>
                    </a:solidFill>
                    <a:latin typeface="Gilmer Light" panose="00000400000000000000" pitchFamily="50" charset="0"/>
                    <a:cs typeface="Arial"/>
                  </a:rPr>
                  <a:t> Development Source</a:t>
                </a:r>
                <a:endParaRPr lang="en-US" sz="1600">
                  <a:solidFill>
                    <a:schemeClr val="bg2">
                      <a:lumMod val="50000"/>
                    </a:schemeClr>
                  </a:solidFill>
                  <a:latin typeface="Gilmer Light" panose="00000400000000000000" pitchFamily="50" charset="0"/>
                  <a:cs typeface="Arial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350365184"/>
        <c:crosses val="autoZero"/>
        <c:auto val="1"/>
        <c:lblAlgn val="ctr"/>
        <c:lblOffset val="100"/>
        <c:noMultiLvlLbl val="0"/>
      </c:catAx>
      <c:valAx>
        <c:axId val="350365184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 algn="ctr" rtl="0">
                  <a:defRPr lang="en-US" sz="14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/>
                  </a:defRPr>
                </a:pPr>
                <a:r>
                  <a:rPr lang="en-US" sz="14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Gilmer Light" panose="00000400000000000000" pitchFamily="50" charset="0"/>
                    <a:ea typeface="+mn-ea"/>
                    <a:cs typeface="Arial"/>
                  </a:rPr>
                  <a:t># of Introductions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>
                <a:latin typeface="Gilmer Light" panose="00000400000000000000" pitchFamily="50" charset="0"/>
              </a:defRPr>
            </a:pPr>
            <a:endParaRPr lang="en-US"/>
          </a:p>
        </c:txPr>
        <c:crossAx val="350364400"/>
        <c:crosses val="autoZero"/>
        <c:crossBetween val="between"/>
        <c:minorUnit val="1"/>
      </c:valAx>
    </c:plotArea>
    <c:legend>
      <c:legendPos val="b"/>
      <c:overlay val="0"/>
      <c:txPr>
        <a:bodyPr/>
        <a:lstStyle/>
        <a:p>
          <a:pPr>
            <a:defRPr>
              <a:latin typeface="Gilmer Light" panose="00000400000000000000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2"/>
      </a:solidFill>
    </a:ln>
  </c:sp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 b="1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cs typeface="Arial" panose="020B0604020202020204" pitchFamily="34" charset="0"/>
              </a:defRPr>
            </a:pPr>
            <a:r>
              <a:rPr lang="en-US" sz="1800" b="1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cs typeface="Arial" panose="020B0604020202020204" pitchFamily="34" charset="0"/>
              </a:rPr>
              <a:t>Advisor On-Boarding Results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'Source, Adv Source, &amp; Status'!$K$35:$L$35</c:f>
              <c:strCache>
                <c:ptCount val="1"/>
                <c:pt idx="0">
                  <c:v>Advisor Lead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Gilmer Light" panose="00000400000000000000" pitchFamily="50" charset="0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Status'!$K$43:$K$45</c:f>
              <c:strCache>
                <c:ptCount val="3"/>
                <c:pt idx="0">
                  <c:v>Adv1</c:v>
                </c:pt>
                <c:pt idx="1">
                  <c:v>Adv2</c:v>
                </c:pt>
                <c:pt idx="2">
                  <c:v>Adv3</c:v>
                </c:pt>
              </c:strCache>
            </c:strRef>
          </c:cat>
          <c:val>
            <c:numRef>
              <c:f>'Source, Adv Source, &amp; Status'!$L$36:$L$38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0-E448-B4AE-AFA8CA102AD8}"/>
            </c:ext>
          </c:extLst>
        </c:ser>
        <c:ser>
          <c:idx val="1"/>
          <c:order val="1"/>
          <c:tx>
            <c:strRef>
              <c:f>'Source, Adv Source, &amp; Status'!$K$42:$L$42</c:f>
              <c:strCache>
                <c:ptCount val="1"/>
                <c:pt idx="0">
                  <c:v>Advisor Closed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Gilmer Light" panose="00000400000000000000" pitchFamily="50" charset="0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'Source, Adv Source, &amp; Status'!$K$43:$K$45</c:f>
              <c:strCache>
                <c:ptCount val="3"/>
                <c:pt idx="0">
                  <c:v>Adv1</c:v>
                </c:pt>
                <c:pt idx="1">
                  <c:v>Adv2</c:v>
                </c:pt>
                <c:pt idx="2">
                  <c:v>Adv3</c:v>
                </c:pt>
              </c:strCache>
            </c:strRef>
          </c:cat>
          <c:val>
            <c:numRef>
              <c:f>'Source, Adv Source, &amp; Status'!$L$43:$L$45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0-E448-B4AE-AFA8CA102A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0368320"/>
        <c:axId val="350362048"/>
      </c:barChart>
      <c:catAx>
        <c:axId val="35036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Gilmer Light" panose="00000400000000000000" pitchFamily="50" charset="0"/>
                    <a:cs typeface="Arial"/>
                  </a:defRPr>
                </a:pPr>
                <a:r>
                  <a:rPr lang="en-US" sz="1600">
                    <a:latin typeface="Gilmer Light" panose="00000400000000000000" pitchFamily="50" charset="0"/>
                    <a:cs typeface="Arial"/>
                  </a:rPr>
                  <a:t>Advisor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b="1">
                <a:latin typeface="Gilmer Light" panose="00000400000000000000" pitchFamily="50" charset="0"/>
                <a:cs typeface="Arial"/>
              </a:defRPr>
            </a:pPr>
            <a:endParaRPr lang="en-US"/>
          </a:p>
        </c:txPr>
        <c:crossAx val="350362048"/>
        <c:crosses val="autoZero"/>
        <c:auto val="1"/>
        <c:lblAlgn val="ctr"/>
        <c:lblOffset val="100"/>
        <c:noMultiLvlLbl val="0"/>
      </c:catAx>
      <c:valAx>
        <c:axId val="35036204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Gilmer Light" panose="00000400000000000000" pitchFamily="50" charset="0"/>
                    <a:cs typeface="Arial"/>
                  </a:defRPr>
                </a:pPr>
                <a:r>
                  <a:rPr lang="en-US" sz="1200">
                    <a:latin typeface="Gilmer Light" panose="00000400000000000000" pitchFamily="50" charset="0"/>
                    <a:cs typeface="Arial"/>
                  </a:rPr>
                  <a:t>#</a:t>
                </a:r>
                <a:r>
                  <a:rPr lang="en-US" sz="1200" baseline="0">
                    <a:latin typeface="Gilmer Light" panose="00000400000000000000" pitchFamily="50" charset="0"/>
                    <a:cs typeface="Arial"/>
                  </a:rPr>
                  <a:t> of Meetings  &amp;  # of Closed </a:t>
                </a:r>
                <a:endParaRPr lang="en-US" sz="1200">
                  <a:latin typeface="Gilmer Light" panose="00000400000000000000" pitchFamily="50" charset="0"/>
                  <a:cs typeface="Arial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>
                <a:latin typeface="Gilmer Light" panose="00000400000000000000" pitchFamily="50" charset="0"/>
              </a:defRPr>
            </a:pPr>
            <a:endParaRPr lang="en-US"/>
          </a:p>
        </c:txPr>
        <c:crossAx val="350368320"/>
        <c:crosses val="autoZero"/>
        <c:crossBetween val="between"/>
        <c:minorUnit val="0.4"/>
      </c:valAx>
    </c:plotArea>
    <c:legend>
      <c:legendPos val="b"/>
      <c:overlay val="0"/>
      <c:txPr>
        <a:bodyPr/>
        <a:lstStyle/>
        <a:p>
          <a:pPr>
            <a:defRPr sz="1200" b="1">
              <a:latin typeface="Gilmer Light" panose="00000400000000000000" pitchFamily="50" charset="0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2"/>
      </a:solidFill>
    </a:ln>
    <a:effectLst/>
  </c:sp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800" b="1" i="0" u="none" strike="noStrike" kern="1200" cap="none" spc="0" normalizeH="0" baseline="0" noProof="0">
                <a:ln>
                  <a:noFill/>
                </a:ln>
                <a:solidFill>
                  <a:srgbClr val="3F3F3F">
                    <a:lumMod val="65000"/>
                    <a:lumOff val="35000"/>
                  </a:srgbClr>
                </a:solidFill>
                <a:effectLst/>
                <a:uLnTx/>
                <a:uFillTx/>
                <a:latin typeface="Gilmer Light" panose="00000400000000000000" pitchFamily="50" charset="0"/>
                <a:ea typeface="+mn-ea"/>
                <a:cs typeface="+mn-cs"/>
              </a:rPr>
              <a:t>COIs per Specialty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COI!$A$60</c:f>
              <c:strCache>
                <c:ptCount val="1"/>
                <c:pt idx="0">
                  <c:v>COIs in Specialty 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46-404E-931A-06E5D46717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46-404E-931A-06E5D46717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46-404E-931A-06E5D46717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46-404E-931A-06E5D46717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COI!$A$61:$A$64</c:f>
              <c:strCache>
                <c:ptCount val="4"/>
                <c:pt idx="0">
                  <c:v>Retirement</c:v>
                </c:pt>
                <c:pt idx="1">
                  <c:v>Women w/ Loss</c:v>
                </c:pt>
                <c:pt idx="2">
                  <c:v>Business Owners</c:v>
                </c:pt>
                <c:pt idx="3">
                  <c:v>Firm</c:v>
                </c:pt>
              </c:strCache>
            </c:strRef>
          </c:cat>
          <c:val>
            <c:numRef>
              <c:f>COI!$B$61:$B$64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16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9-4C60-9C71-E380AA5C63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ilmer Light" panose="000004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r>
              <a:rPr lang="en-US" b="1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</a:rPr>
              <a:t>STATUS</a:t>
            </a:r>
            <a:r>
              <a:rPr lang="en-US" b="1" baseline="0">
                <a:solidFill>
                  <a:schemeClr val="bg2">
                    <a:lumMod val="50000"/>
                  </a:schemeClr>
                </a:solidFill>
                <a:latin typeface="Gilmer Light" panose="00000400000000000000" pitchFamily="50" charset="0"/>
              </a:rPr>
              <a:t> OF COIS</a:t>
            </a:r>
            <a:endParaRPr lang="en-US" b="1">
              <a:solidFill>
                <a:schemeClr val="bg2">
                  <a:lumMod val="50000"/>
                </a:schemeClr>
              </a:solidFill>
              <a:latin typeface="Gilmer Light" panose="00000400000000000000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bg2">
                  <a:lumMod val="50000"/>
                </a:schemeClr>
              </a:solidFill>
              <a:latin typeface="Gilmer Light" panose="000004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COI!$C$60</c:f>
              <c:strCache>
                <c:ptCount val="1"/>
                <c:pt idx="0">
                  <c:v>Status of COIs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60-774C-9F84-7B7420E25F1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60-774C-9F84-7B7420E25F1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160-774C-9F84-7B7420E25F1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160-774C-9F84-7B7420E25F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COI!$C$61:$C$64</c:f>
              <c:strCache>
                <c:ptCount val="4"/>
                <c:pt idx="0">
                  <c:v>Lead</c:v>
                </c:pt>
                <c:pt idx="1">
                  <c:v>On-Boarding</c:v>
                </c:pt>
                <c:pt idx="2">
                  <c:v>Committed/Yr 1</c:v>
                </c:pt>
                <c:pt idx="3">
                  <c:v>No Go</c:v>
                </c:pt>
              </c:strCache>
            </c:strRef>
          </c:cat>
          <c:val>
            <c:numRef>
              <c:f>COI!$D$61:$D$64</c:f>
              <c:numCache>
                <c:formatCode>General</c:formatCode>
                <c:ptCount val="4"/>
                <c:pt idx="0">
                  <c:v>23</c:v>
                </c:pt>
                <c:pt idx="1">
                  <c:v>13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60-774C-9F84-7B7420E25F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488544904"/>
        <c:axId val="488549216"/>
      </c:barChart>
      <c:catAx>
        <c:axId val="488544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r>
                  <a:rPr lang="en-US" sz="1400">
                    <a:latin typeface="Gilmer Light" panose="00000400000000000000" pitchFamily="50" charset="0"/>
                  </a:rPr>
                  <a:t>Status of COIs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mer Light" panose="000004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mer Light" panose="00000400000000000000" pitchFamily="50" charset="0"/>
                <a:ea typeface="+mn-ea"/>
                <a:cs typeface="+mn-cs"/>
              </a:defRPr>
            </a:pPr>
            <a:endParaRPr lang="en-US"/>
          </a:p>
        </c:txPr>
        <c:crossAx val="488549216"/>
        <c:crosses val="autoZero"/>
        <c:auto val="1"/>
        <c:lblAlgn val="ctr"/>
        <c:lblOffset val="100"/>
        <c:noMultiLvlLbl val="0"/>
      </c:catAx>
      <c:valAx>
        <c:axId val="4885492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mer Light" panose="00000400000000000000" pitchFamily="50" charset="0"/>
                    <a:ea typeface="+mn-ea"/>
                    <a:cs typeface="+mn-cs"/>
                  </a:defRPr>
                </a:pPr>
                <a:r>
                  <a:rPr lang="en-US" sz="1400" b="0">
                    <a:latin typeface="Gilmer Light" panose="00000400000000000000" pitchFamily="50" charset="0"/>
                  </a:rPr>
                  <a:t># of COIs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mer Light" panose="000004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5449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1.pn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127989</xdr:rowOff>
    </xdr:from>
    <xdr:ext cx="5133604" cy="36449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321624</xdr:colOff>
      <xdr:row>1</xdr:row>
      <xdr:rowOff>128320</xdr:rowOff>
    </xdr:from>
    <xdr:ext cx="5467596" cy="3632199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twoCellAnchor>
    <xdr:from>
      <xdr:col>1</xdr:col>
      <xdr:colOff>0</xdr:colOff>
      <xdr:row>19</xdr:row>
      <xdr:rowOff>197921</xdr:rowOff>
    </xdr:from>
    <xdr:to>
      <xdr:col>6</xdr:col>
      <xdr:colOff>333993</xdr:colOff>
      <xdr:row>38</xdr:row>
      <xdr:rowOff>24740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</xdr:row>
      <xdr:rowOff>123701</xdr:rowOff>
    </xdr:from>
    <xdr:to>
      <xdr:col>18</xdr:col>
      <xdr:colOff>0</xdr:colOff>
      <xdr:row>19</xdr:row>
      <xdr:rowOff>137583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326030</xdr:colOff>
      <xdr:row>20</xdr:row>
      <xdr:rowOff>0</xdr:rowOff>
    </xdr:from>
    <xdr:to>
      <xdr:col>12</xdr:col>
      <xdr:colOff>0</xdr:colOff>
      <xdr:row>38</xdr:row>
      <xdr:rowOff>56902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964869</xdr:colOff>
      <xdr:row>20</xdr:row>
      <xdr:rowOff>0</xdr:rowOff>
    </xdr:from>
    <xdr:to>
      <xdr:col>18</xdr:col>
      <xdr:colOff>-1</xdr:colOff>
      <xdr:row>38</xdr:row>
      <xdr:rowOff>81641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333992</xdr:colOff>
      <xdr:row>38</xdr:row>
      <xdr:rowOff>123563</xdr:rowOff>
    </xdr:from>
    <xdr:to>
      <xdr:col>12</xdr:col>
      <xdr:colOff>1786</xdr:colOff>
      <xdr:row>57</xdr:row>
      <xdr:rowOff>185414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6</xdr:col>
      <xdr:colOff>215900</xdr:colOff>
      <xdr:row>80</xdr:row>
      <xdr:rowOff>12700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210293</xdr:colOff>
      <xdr:row>61</xdr:row>
      <xdr:rowOff>0</xdr:rowOff>
    </xdr:from>
    <xdr:to>
      <xdr:col>12</xdr:col>
      <xdr:colOff>12371</xdr:colOff>
      <xdr:row>80</xdr:row>
      <xdr:rowOff>12700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961076</xdr:colOff>
      <xdr:row>60</xdr:row>
      <xdr:rowOff>197068</xdr:rowOff>
    </xdr:from>
    <xdr:to>
      <xdr:col>17</xdr:col>
      <xdr:colOff>655617</xdr:colOff>
      <xdr:row>80</xdr:row>
      <xdr:rowOff>10948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82</xdr:row>
      <xdr:rowOff>12370</xdr:rowOff>
    </xdr:from>
    <xdr:to>
      <xdr:col>6</xdr:col>
      <xdr:colOff>197922</xdr:colOff>
      <xdr:row>101</xdr:row>
      <xdr:rowOff>49480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210291</xdr:colOff>
      <xdr:row>82</xdr:row>
      <xdr:rowOff>12371</xdr:rowOff>
    </xdr:from>
    <xdr:to>
      <xdr:col>12</xdr:col>
      <xdr:colOff>12370</xdr:colOff>
      <xdr:row>101</xdr:row>
      <xdr:rowOff>49481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101</xdr:row>
      <xdr:rowOff>49479</xdr:rowOff>
    </xdr:from>
    <xdr:to>
      <xdr:col>6</xdr:col>
      <xdr:colOff>210291</xdr:colOff>
      <xdr:row>120</xdr:row>
      <xdr:rowOff>185551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197921</xdr:colOff>
      <xdr:row>101</xdr:row>
      <xdr:rowOff>49479</xdr:rowOff>
    </xdr:from>
    <xdr:to>
      <xdr:col>12</xdr:col>
      <xdr:colOff>24740</xdr:colOff>
      <xdr:row>120</xdr:row>
      <xdr:rowOff>185552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333375</xdr:colOff>
      <xdr:row>123</xdr:row>
      <xdr:rowOff>0</xdr:rowOff>
    </xdr:from>
    <xdr:to>
      <xdr:col>2</xdr:col>
      <xdr:colOff>587375</xdr:colOff>
      <xdr:row>127</xdr:row>
      <xdr:rowOff>65044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6AA0EB1-2782-47A3-ABE5-752412BF5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0250" y="25177750"/>
          <a:ext cx="1222375" cy="985794"/>
        </a:xfrm>
        <a:prstGeom prst="rect">
          <a:avLst/>
        </a:prstGeom>
      </xdr:spPr>
    </xdr:pic>
    <xdr:clientData/>
  </xdr:twoCellAnchor>
  <xdr:twoCellAnchor editAs="oneCell">
    <xdr:from>
      <xdr:col>15</xdr:col>
      <xdr:colOff>206375</xdr:colOff>
      <xdr:row>122</xdr:row>
      <xdr:rowOff>31750</xdr:rowOff>
    </xdr:from>
    <xdr:to>
      <xdr:col>18</xdr:col>
      <xdr:colOff>174625</xdr:colOff>
      <xdr:row>127</xdr:row>
      <xdr:rowOff>31750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594B22C-DFA2-510D-6940-0FBEAC202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160500" y="25003125"/>
          <a:ext cx="2238375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MITLESS PALETTE 2">
      <a:dk1>
        <a:srgbClr val="3F3F3F"/>
      </a:dk1>
      <a:lt1>
        <a:srgbClr val="FFFFFF"/>
      </a:lt1>
      <a:dk2>
        <a:srgbClr val="002426"/>
      </a:dk2>
      <a:lt2>
        <a:srgbClr val="E7E6E6"/>
      </a:lt2>
      <a:accent1>
        <a:srgbClr val="417E77"/>
      </a:accent1>
      <a:accent2>
        <a:srgbClr val="D17346"/>
      </a:accent2>
      <a:accent3>
        <a:srgbClr val="A7D8D5"/>
      </a:accent3>
      <a:accent4>
        <a:srgbClr val="004A4D"/>
      </a:accent4>
      <a:accent5>
        <a:srgbClr val="56ABA8"/>
      </a:accent5>
      <a:accent6>
        <a:srgbClr val="D17346"/>
      </a:accent6>
      <a:hlink>
        <a:srgbClr val="D17346"/>
      </a:hlink>
      <a:folHlink>
        <a:srgbClr val="6F3B5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CD@gmail.com" TargetMode="External"/><Relationship Id="rId1" Type="http://schemas.openxmlformats.org/officeDocument/2006/relationships/hyperlink" Target="mailto:A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29"/>
  <sheetViews>
    <sheetView showGridLines="0" tabSelected="1" zoomScale="60" zoomScaleNormal="60" workbookViewId="0">
      <selection activeCell="O1" sqref="O1"/>
    </sheetView>
  </sheetViews>
  <sheetFormatPr defaultColWidth="0" defaultRowHeight="15.75" customHeight="1" zeroHeight="1" x14ac:dyDescent="0.2"/>
  <cols>
    <col min="1" max="1" width="5.85546875" customWidth="1"/>
    <col min="2" max="16" width="14.42578125" customWidth="1"/>
    <col min="17" max="17" width="5" customWidth="1"/>
    <col min="18" max="18" width="14.42578125" customWidth="1"/>
    <col min="19" max="19" width="6.140625" customWidth="1"/>
    <col min="20" max="16384" width="14.42578125" hidden="1"/>
  </cols>
  <sheetData>
    <row r="1" spans="5:14" ht="66" customHeight="1" x14ac:dyDescent="0.85">
      <c r="E1" s="108" t="s">
        <v>268</v>
      </c>
      <c r="F1" s="109"/>
      <c r="G1" s="109"/>
      <c r="H1" s="109"/>
      <c r="I1" s="109"/>
      <c r="J1" s="109"/>
      <c r="K1" s="109"/>
      <c r="L1" s="109"/>
      <c r="M1" s="109"/>
      <c r="N1" s="109"/>
    </row>
    <row r="2" spans="5:14" ht="15.75" customHeight="1" x14ac:dyDescent="0.2"/>
    <row r="3" spans="5:14" ht="15.75" customHeight="1" x14ac:dyDescent="0.2"/>
    <row r="4" spans="5:14" ht="15.75" customHeight="1" x14ac:dyDescent="0.2"/>
    <row r="5" spans="5:14" ht="15.75" customHeight="1" x14ac:dyDescent="0.2"/>
    <row r="6" spans="5:14" ht="15.75" customHeight="1" x14ac:dyDescent="0.2"/>
    <row r="7" spans="5:14" ht="15.75" customHeight="1" x14ac:dyDescent="0.2"/>
    <row r="8" spans="5:14" ht="15.75" customHeight="1" x14ac:dyDescent="0.2"/>
    <row r="9" spans="5:14" ht="15.75" customHeight="1" x14ac:dyDescent="0.2"/>
    <row r="10" spans="5:14" ht="15.75" customHeight="1" x14ac:dyDescent="0.2"/>
    <row r="11" spans="5:14" ht="15.75" customHeight="1" x14ac:dyDescent="0.2"/>
    <row r="12" spans="5:14" ht="15.75" customHeight="1" x14ac:dyDescent="0.2"/>
    <row r="13" spans="5:14" ht="15.75" customHeight="1" x14ac:dyDescent="0.2"/>
    <row r="14" spans="5:14" ht="15.75" customHeight="1" x14ac:dyDescent="0.2"/>
    <row r="15" spans="5:14" ht="15.75" customHeight="1" x14ac:dyDescent="0.2"/>
    <row r="16" spans="5:1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spans="4:19" ht="15.75" customHeight="1" x14ac:dyDescent="0.2"/>
    <row r="114" spans="4:19" ht="15.75" customHeight="1" x14ac:dyDescent="0.2"/>
    <row r="115" spans="4:19" ht="15.75" customHeight="1" x14ac:dyDescent="0.2"/>
    <row r="116" spans="4:19" ht="15.75" customHeight="1" x14ac:dyDescent="0.2"/>
    <row r="117" spans="4:19" ht="15.75" customHeight="1" x14ac:dyDescent="0.2"/>
    <row r="118" spans="4:19" ht="15.75" customHeight="1" x14ac:dyDescent="0.2"/>
    <row r="119" spans="4:19" ht="15.75" customHeight="1" x14ac:dyDescent="0.2"/>
    <row r="120" spans="4:19" ht="15.75" customHeight="1" x14ac:dyDescent="0.2"/>
    <row r="121" spans="4:19" ht="15.75" customHeight="1" x14ac:dyDescent="0.2"/>
    <row r="122" spans="4:19" ht="15.75" customHeight="1" x14ac:dyDescent="0.2"/>
    <row r="123" spans="4:19" ht="15.75" customHeight="1" x14ac:dyDescent="0.2"/>
    <row r="124" spans="4:19" ht="15.75" customHeight="1" x14ac:dyDescent="0.2">
      <c r="I124" s="107" t="s">
        <v>267</v>
      </c>
      <c r="J124" s="107"/>
      <c r="K124" s="107"/>
      <c r="L124" s="107"/>
      <c r="M124" s="107"/>
      <c r="N124" s="107"/>
      <c r="O124" s="107"/>
    </row>
    <row r="125" spans="4:19" ht="15.75" customHeight="1" x14ac:dyDescent="0.2">
      <c r="I125" s="107"/>
      <c r="J125" s="107"/>
      <c r="K125" s="107"/>
      <c r="L125" s="107"/>
      <c r="M125" s="107"/>
      <c r="N125" s="107"/>
      <c r="O125" s="107"/>
    </row>
    <row r="126" spans="4:19" ht="23.25" customHeight="1" x14ac:dyDescent="0.35">
      <c r="D126" s="91" t="s">
        <v>266</v>
      </c>
      <c r="I126" s="107"/>
      <c r="J126" s="107"/>
      <c r="K126" s="107"/>
      <c r="L126" s="107"/>
      <c r="M126" s="107"/>
      <c r="N126" s="107"/>
      <c r="O126" s="107"/>
      <c r="P126" s="106"/>
      <c r="Q126" s="106"/>
      <c r="R126" s="106"/>
      <c r="S126" s="106"/>
    </row>
    <row r="127" spans="4:19" ht="15.75" customHeight="1" x14ac:dyDescent="0.2">
      <c r="N127" s="106"/>
      <c r="O127" s="106"/>
      <c r="P127" s="106"/>
      <c r="Q127" s="106"/>
      <c r="R127" s="106"/>
      <c r="S127" s="106"/>
    </row>
    <row r="128" spans="4:19" ht="15.75" customHeight="1" x14ac:dyDescent="0.2"/>
    <row r="129" ht="15.75" customHeight="1" x14ac:dyDescent="0.2"/>
  </sheetData>
  <mergeCells count="2">
    <mergeCell ref="I124:O126"/>
    <mergeCell ref="E1:N1"/>
  </mergeCells>
  <phoneticPr fontId="2" type="noConversion"/>
  <pageMargins left="0.75" right="0.75" top="1" bottom="1" header="0.5" footer="0.5"/>
  <pageSetup paperSize="3" orientation="landscape" horizontalDpi="4294967292" verticalDpi="4294967292" r:id="rId1"/>
  <rowBreaks count="2" manualBreakCount="2">
    <brk id="39" max="16383" man="1"/>
    <brk id="82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6"/>
  <sheetViews>
    <sheetView workbookViewId="0">
      <selection activeCell="C19" sqref="C19"/>
    </sheetView>
  </sheetViews>
  <sheetFormatPr defaultColWidth="14.42578125" defaultRowHeight="15.75" customHeight="1" x14ac:dyDescent="0.2"/>
  <cols>
    <col min="1" max="5" width="32.7109375" style="36" customWidth="1"/>
    <col min="6" max="16384" width="14.42578125" style="36"/>
  </cols>
  <sheetData>
    <row r="1" spans="1:5" ht="18" x14ac:dyDescent="0.2">
      <c r="A1" s="64" t="s">
        <v>264</v>
      </c>
      <c r="B1" s="64" t="s">
        <v>48</v>
      </c>
      <c r="C1" s="64" t="s">
        <v>263</v>
      </c>
      <c r="D1" s="64" t="s">
        <v>48</v>
      </c>
      <c r="E1" s="65"/>
    </row>
    <row r="2" spans="1:5" ht="15.75" customHeight="1" x14ac:dyDescent="0.2">
      <c r="A2" s="66" t="s">
        <v>50</v>
      </c>
      <c r="B2" s="67">
        <v>5000000</v>
      </c>
      <c r="C2" s="66" t="s">
        <v>50</v>
      </c>
      <c r="D2" s="67"/>
    </row>
    <row r="3" spans="1:5" ht="15.75" customHeight="1" x14ac:dyDescent="0.2">
      <c r="A3" s="66" t="s">
        <v>51</v>
      </c>
      <c r="B3" s="67">
        <v>2000000</v>
      </c>
      <c r="C3" s="66" t="s">
        <v>51</v>
      </c>
      <c r="D3" s="67"/>
    </row>
    <row r="4" spans="1:5" ht="15.75" customHeight="1" x14ac:dyDescent="0.2">
      <c r="A4" s="66" t="s">
        <v>52</v>
      </c>
      <c r="B4" s="67">
        <v>-1000000</v>
      </c>
      <c r="C4" s="66" t="s">
        <v>52</v>
      </c>
      <c r="D4" s="67"/>
    </row>
    <row r="5" spans="1:5" ht="15.75" customHeight="1" x14ac:dyDescent="0.2">
      <c r="A5" s="66" t="s">
        <v>53</v>
      </c>
      <c r="B5" s="67">
        <v>3000000</v>
      </c>
      <c r="C5" s="66" t="s">
        <v>53</v>
      </c>
      <c r="D5" s="67"/>
    </row>
    <row r="6" spans="1:5" ht="15.75" customHeight="1" x14ac:dyDescent="0.2">
      <c r="A6" s="66" t="s">
        <v>54</v>
      </c>
      <c r="B6" s="67"/>
      <c r="C6" s="66" t="s">
        <v>54</v>
      </c>
      <c r="D6" s="67"/>
    </row>
    <row r="7" spans="1:5" ht="15.75" customHeight="1" x14ac:dyDescent="0.2">
      <c r="A7" s="66" t="s">
        <v>55</v>
      </c>
      <c r="B7" s="67"/>
      <c r="C7" s="66" t="s">
        <v>55</v>
      </c>
      <c r="D7" s="67"/>
    </row>
    <row r="8" spans="1:5" ht="15.75" customHeight="1" x14ac:dyDescent="0.2">
      <c r="A8" s="66" t="s">
        <v>56</v>
      </c>
      <c r="B8" s="67"/>
      <c r="C8" s="66" t="s">
        <v>56</v>
      </c>
      <c r="D8" s="67"/>
    </row>
    <row r="9" spans="1:5" ht="15.75" customHeight="1" x14ac:dyDescent="0.2">
      <c r="A9" s="66" t="s">
        <v>57</v>
      </c>
      <c r="B9" s="67"/>
      <c r="C9" s="66" t="s">
        <v>57</v>
      </c>
      <c r="D9" s="67"/>
    </row>
    <row r="10" spans="1:5" ht="15.75" customHeight="1" x14ac:dyDescent="0.2">
      <c r="A10" s="66" t="s">
        <v>58</v>
      </c>
      <c r="B10" s="67"/>
      <c r="C10" s="66" t="s">
        <v>58</v>
      </c>
      <c r="D10" s="67"/>
    </row>
    <row r="11" spans="1:5" ht="15.75" customHeight="1" x14ac:dyDescent="0.2">
      <c r="A11" s="66" t="s">
        <v>59</v>
      </c>
      <c r="B11" s="67"/>
      <c r="C11" s="66" t="s">
        <v>59</v>
      </c>
      <c r="D11" s="67"/>
    </row>
    <row r="12" spans="1:5" ht="15.75" customHeight="1" x14ac:dyDescent="0.2">
      <c r="A12" s="66" t="s">
        <v>60</v>
      </c>
      <c r="B12" s="67"/>
      <c r="C12" s="66" t="s">
        <v>60</v>
      </c>
      <c r="D12" s="67"/>
    </row>
    <row r="13" spans="1:5" ht="15.75" customHeight="1" x14ac:dyDescent="0.2">
      <c r="A13" s="66" t="s">
        <v>61</v>
      </c>
      <c r="B13" s="67"/>
      <c r="C13" s="66" t="s">
        <v>61</v>
      </c>
      <c r="D13" s="67"/>
    </row>
    <row r="14" spans="1:5" ht="18" x14ac:dyDescent="0.25">
      <c r="A14" s="68" t="s">
        <v>49</v>
      </c>
      <c r="B14" s="69">
        <f>SUM(B2:B13)</f>
        <v>9000000</v>
      </c>
      <c r="C14" s="68" t="s">
        <v>49</v>
      </c>
      <c r="D14" s="69">
        <f>SUM(D2:D13)</f>
        <v>0</v>
      </c>
    </row>
    <row r="15" spans="1:5" ht="18" x14ac:dyDescent="0.25">
      <c r="A15" s="68" t="s">
        <v>265</v>
      </c>
      <c r="B15" s="70">
        <v>15000000</v>
      </c>
      <c r="C15" s="68" t="s">
        <v>262</v>
      </c>
      <c r="D15" s="70">
        <v>15000000</v>
      </c>
    </row>
    <row r="16" spans="1:5" ht="15.75" customHeight="1" x14ac:dyDescent="0.2">
      <c r="A16" s="71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67"/>
  <sheetViews>
    <sheetView zoomScale="70" zoomScaleNormal="70" workbookViewId="0">
      <selection activeCell="H49" sqref="H49"/>
    </sheetView>
  </sheetViews>
  <sheetFormatPr defaultColWidth="14.42578125" defaultRowHeight="15.75" customHeight="1" x14ac:dyDescent="0.2"/>
  <cols>
    <col min="1" max="10" width="21.28515625" style="16" customWidth="1"/>
    <col min="11" max="11" width="21.7109375" style="16" customWidth="1"/>
    <col min="12" max="13" width="21.28515625" style="16" customWidth="1"/>
    <col min="14" max="16384" width="14.42578125" style="16"/>
  </cols>
  <sheetData>
    <row r="1" spans="1:13" ht="15" x14ac:dyDescent="0.2">
      <c r="A1" s="15" t="s">
        <v>0</v>
      </c>
      <c r="B1" s="15" t="s">
        <v>1</v>
      </c>
      <c r="C1" s="15" t="s">
        <v>2</v>
      </c>
      <c r="D1" s="15" t="s">
        <v>45</v>
      </c>
      <c r="E1" s="15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/>
    </row>
    <row r="2" spans="1:13" ht="15.75" customHeight="1" x14ac:dyDescent="0.2">
      <c r="A2" s="17" t="s">
        <v>240</v>
      </c>
      <c r="B2" s="17" t="s">
        <v>232</v>
      </c>
      <c r="C2" s="18" t="s">
        <v>128</v>
      </c>
      <c r="D2" s="17" t="s">
        <v>13</v>
      </c>
      <c r="E2" s="17" t="s">
        <v>140</v>
      </c>
      <c r="F2" s="17" t="s">
        <v>19</v>
      </c>
      <c r="G2" s="17" t="s">
        <v>23</v>
      </c>
      <c r="H2" s="17" t="s">
        <v>21</v>
      </c>
      <c r="I2" s="17" t="s">
        <v>32</v>
      </c>
      <c r="J2" s="19">
        <v>5000000</v>
      </c>
      <c r="K2" s="17"/>
      <c r="L2" s="17" t="s">
        <v>30</v>
      </c>
      <c r="M2" s="17"/>
    </row>
    <row r="3" spans="1:13" ht="15.75" customHeight="1" x14ac:dyDescent="0.2">
      <c r="A3" s="17" t="s">
        <v>241</v>
      </c>
      <c r="B3" s="17" t="s">
        <v>233</v>
      </c>
      <c r="C3" s="17" t="s">
        <v>129</v>
      </c>
      <c r="D3" s="17" t="s">
        <v>13</v>
      </c>
      <c r="E3" s="17" t="s">
        <v>140</v>
      </c>
      <c r="F3" s="17" t="s">
        <v>33</v>
      </c>
      <c r="G3" s="17" t="s">
        <v>20</v>
      </c>
      <c r="H3" s="17" t="s">
        <v>21</v>
      </c>
      <c r="I3" s="17" t="s">
        <v>34</v>
      </c>
      <c r="J3" s="19">
        <v>2000000</v>
      </c>
      <c r="K3" s="17"/>
      <c r="L3" s="17"/>
      <c r="M3" s="17"/>
    </row>
    <row r="4" spans="1:13" ht="15.75" customHeight="1" x14ac:dyDescent="0.2">
      <c r="A4" s="17" t="s">
        <v>243</v>
      </c>
      <c r="B4" s="17" t="s">
        <v>242</v>
      </c>
      <c r="C4" s="18" t="s">
        <v>130</v>
      </c>
      <c r="D4" s="17" t="s">
        <v>14</v>
      </c>
      <c r="E4" s="17" t="s">
        <v>140</v>
      </c>
      <c r="F4" s="17" t="s">
        <v>24</v>
      </c>
      <c r="G4" s="17" t="s">
        <v>20</v>
      </c>
      <c r="H4" s="17" t="s">
        <v>25</v>
      </c>
      <c r="I4" s="17" t="s">
        <v>19</v>
      </c>
      <c r="J4" s="19">
        <v>500000</v>
      </c>
      <c r="K4" s="20">
        <v>500000</v>
      </c>
      <c r="L4" s="17" t="s">
        <v>27</v>
      </c>
      <c r="M4" s="17"/>
    </row>
    <row r="5" spans="1:13" ht="15.75" customHeight="1" x14ac:dyDescent="0.2">
      <c r="A5" s="17" t="s">
        <v>244</v>
      </c>
      <c r="B5" s="17" t="s">
        <v>234</v>
      </c>
      <c r="C5" s="18" t="s">
        <v>131</v>
      </c>
      <c r="D5" s="17" t="s">
        <v>12</v>
      </c>
      <c r="E5" s="17" t="s">
        <v>140</v>
      </c>
      <c r="F5" s="17" t="s">
        <v>24</v>
      </c>
      <c r="G5" s="17" t="s">
        <v>27</v>
      </c>
      <c r="H5" s="17" t="s">
        <v>21</v>
      </c>
      <c r="I5" s="17" t="s">
        <v>32</v>
      </c>
      <c r="J5" s="19">
        <v>2000000</v>
      </c>
      <c r="K5" s="17"/>
      <c r="L5" s="17"/>
      <c r="M5" s="17"/>
    </row>
    <row r="6" spans="1:13" ht="15.75" customHeight="1" x14ac:dyDescent="0.2">
      <c r="A6" s="17" t="s">
        <v>246</v>
      </c>
      <c r="B6" s="17" t="s">
        <v>245</v>
      </c>
      <c r="C6" s="17" t="s">
        <v>132</v>
      </c>
      <c r="D6" s="17" t="s">
        <v>12</v>
      </c>
      <c r="E6" s="17" t="s">
        <v>140</v>
      </c>
      <c r="F6" s="17" t="s">
        <v>33</v>
      </c>
      <c r="G6" s="17" t="s">
        <v>30</v>
      </c>
      <c r="H6" s="17" t="s">
        <v>31</v>
      </c>
      <c r="I6" s="17" t="s">
        <v>22</v>
      </c>
      <c r="J6" s="19"/>
      <c r="K6" s="17"/>
      <c r="L6" s="17"/>
      <c r="M6" s="17"/>
    </row>
    <row r="7" spans="1:13" ht="15.75" customHeight="1" x14ac:dyDescent="0.2">
      <c r="A7" s="17" t="s">
        <v>248</v>
      </c>
      <c r="B7" s="17" t="s">
        <v>247</v>
      </c>
      <c r="C7" s="18" t="s">
        <v>133</v>
      </c>
      <c r="D7" s="17" t="s">
        <v>14</v>
      </c>
      <c r="E7" s="17" t="s">
        <v>140</v>
      </c>
      <c r="F7" s="17" t="s">
        <v>141</v>
      </c>
      <c r="G7" s="17" t="s">
        <v>23</v>
      </c>
      <c r="H7" s="17" t="s">
        <v>31</v>
      </c>
      <c r="I7" s="17" t="s">
        <v>22</v>
      </c>
      <c r="J7" s="19"/>
      <c r="K7" s="17"/>
      <c r="L7" s="17"/>
      <c r="M7" s="17"/>
    </row>
    <row r="8" spans="1:13" ht="15.75" customHeight="1" x14ac:dyDescent="0.2">
      <c r="A8" s="17" t="s">
        <v>249</v>
      </c>
      <c r="B8" s="17" t="s">
        <v>235</v>
      </c>
      <c r="C8" s="17" t="s">
        <v>134</v>
      </c>
      <c r="D8" s="17" t="s">
        <v>14</v>
      </c>
      <c r="E8" s="17" t="s">
        <v>140</v>
      </c>
      <c r="F8" s="17" t="s">
        <v>141</v>
      </c>
      <c r="G8" s="17" t="s">
        <v>23</v>
      </c>
      <c r="H8" s="17" t="s">
        <v>25</v>
      </c>
      <c r="I8" s="17" t="s">
        <v>34</v>
      </c>
      <c r="J8" s="19">
        <v>1000000</v>
      </c>
      <c r="K8" s="17"/>
      <c r="L8" s="17"/>
      <c r="M8" s="17"/>
    </row>
    <row r="9" spans="1:13" ht="15.75" customHeight="1" x14ac:dyDescent="0.2">
      <c r="A9" s="17" t="s">
        <v>250</v>
      </c>
      <c r="B9" s="17" t="s">
        <v>236</v>
      </c>
      <c r="C9" s="18" t="s">
        <v>135</v>
      </c>
      <c r="D9" s="17" t="s">
        <v>123</v>
      </c>
      <c r="E9" s="17" t="s">
        <v>140</v>
      </c>
      <c r="F9" s="17" t="s">
        <v>19</v>
      </c>
      <c r="G9" s="17" t="s">
        <v>27</v>
      </c>
      <c r="H9" s="17" t="s">
        <v>25</v>
      </c>
      <c r="I9" s="17" t="s">
        <v>26</v>
      </c>
      <c r="J9" s="19">
        <v>3000000</v>
      </c>
      <c r="K9" s="17"/>
      <c r="L9" s="17"/>
      <c r="M9" s="17"/>
    </row>
    <row r="10" spans="1:13" ht="15.75" customHeight="1" x14ac:dyDescent="0.2">
      <c r="A10" s="17" t="s">
        <v>252</v>
      </c>
      <c r="B10" s="17" t="s">
        <v>251</v>
      </c>
      <c r="C10" s="18" t="s">
        <v>136</v>
      </c>
      <c r="D10" s="17" t="s">
        <v>13</v>
      </c>
      <c r="E10" s="17" t="s">
        <v>140</v>
      </c>
      <c r="F10" s="17" t="s">
        <v>35</v>
      </c>
      <c r="G10" s="17" t="s">
        <v>30</v>
      </c>
      <c r="H10" s="17" t="s">
        <v>25</v>
      </c>
      <c r="I10" s="17" t="s">
        <v>37</v>
      </c>
      <c r="J10" s="19" t="s">
        <v>142</v>
      </c>
      <c r="K10" s="17"/>
      <c r="L10" s="17"/>
      <c r="M10" s="17"/>
    </row>
    <row r="11" spans="1:13" ht="15.75" customHeight="1" x14ac:dyDescent="0.2">
      <c r="A11" s="17" t="s">
        <v>253</v>
      </c>
      <c r="B11" s="17" t="s">
        <v>237</v>
      </c>
      <c r="C11" s="18" t="s">
        <v>137</v>
      </c>
      <c r="D11" s="17" t="s">
        <v>14</v>
      </c>
      <c r="E11" s="17" t="s">
        <v>140</v>
      </c>
      <c r="F11" s="17" t="s">
        <v>35</v>
      </c>
      <c r="G11" s="17" t="s">
        <v>30</v>
      </c>
      <c r="H11" s="17" t="s">
        <v>21</v>
      </c>
      <c r="I11" s="17" t="s">
        <v>32</v>
      </c>
      <c r="J11" s="19">
        <v>3000000</v>
      </c>
      <c r="K11" s="17"/>
      <c r="L11" s="17"/>
      <c r="M11" s="17"/>
    </row>
    <row r="12" spans="1:13" ht="15.75" customHeight="1" x14ac:dyDescent="0.2">
      <c r="A12" s="17" t="s">
        <v>254</v>
      </c>
      <c r="B12" s="17" t="s">
        <v>238</v>
      </c>
      <c r="C12" s="17" t="s">
        <v>138</v>
      </c>
      <c r="D12" s="17" t="s">
        <v>13</v>
      </c>
      <c r="E12" s="17" t="s">
        <v>140</v>
      </c>
      <c r="F12" s="17" t="s">
        <v>24</v>
      </c>
      <c r="G12" s="17" t="s">
        <v>20</v>
      </c>
      <c r="H12" s="17" t="s">
        <v>21</v>
      </c>
      <c r="I12" s="17" t="s">
        <v>19</v>
      </c>
      <c r="J12" s="19">
        <v>5000000</v>
      </c>
      <c r="K12" s="20">
        <v>5000000</v>
      </c>
      <c r="L12" s="17" t="s">
        <v>23</v>
      </c>
      <c r="M12" s="17"/>
    </row>
    <row r="13" spans="1:13" ht="15.75" customHeight="1" x14ac:dyDescent="0.2">
      <c r="A13" s="17" t="s">
        <v>255</v>
      </c>
      <c r="B13" s="21" t="s">
        <v>239</v>
      </c>
      <c r="C13" s="21" t="s">
        <v>139</v>
      </c>
      <c r="D13" s="17" t="s">
        <v>13</v>
      </c>
      <c r="E13" s="17" t="s">
        <v>140</v>
      </c>
      <c r="F13" s="17" t="s">
        <v>36</v>
      </c>
      <c r="G13" s="17" t="s">
        <v>20</v>
      </c>
      <c r="H13" s="17" t="s">
        <v>25</v>
      </c>
      <c r="I13" s="17" t="s">
        <v>37</v>
      </c>
      <c r="J13" s="19">
        <v>300000</v>
      </c>
      <c r="K13" s="17"/>
      <c r="L13" s="17"/>
      <c r="M13" s="17"/>
    </row>
    <row r="14" spans="1:13" ht="15.75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9"/>
      <c r="K14" s="17"/>
      <c r="L14" s="17"/>
      <c r="M14" s="17"/>
    </row>
    <row r="15" spans="1:13" ht="15.7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9"/>
      <c r="K15" s="17"/>
      <c r="L15" s="17"/>
      <c r="M15" s="17"/>
    </row>
    <row r="16" spans="1:13" ht="15.7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9"/>
      <c r="K16" s="17"/>
      <c r="L16" s="17"/>
      <c r="M16" s="17"/>
    </row>
    <row r="17" spans="1:13" ht="15.7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9"/>
      <c r="K17" s="17"/>
      <c r="L17" s="17"/>
      <c r="M17" s="17"/>
    </row>
    <row r="18" spans="1:13" ht="15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9"/>
      <c r="K18" s="17"/>
      <c r="L18" s="17"/>
      <c r="M18" s="17"/>
    </row>
    <row r="19" spans="1:13" ht="15.75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9"/>
      <c r="K19" s="17"/>
      <c r="L19" s="17"/>
      <c r="M19" s="17"/>
    </row>
    <row r="20" spans="1:13" ht="15.7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9"/>
      <c r="K20" s="17"/>
      <c r="L20" s="17"/>
      <c r="M20" s="17"/>
    </row>
    <row r="21" spans="1:13" ht="15.7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9"/>
      <c r="K21" s="17"/>
      <c r="L21" s="17"/>
      <c r="M21" s="17"/>
    </row>
    <row r="22" spans="1:13" ht="15.7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9"/>
      <c r="K22" s="17"/>
      <c r="L22" s="17"/>
      <c r="M22" s="17"/>
    </row>
    <row r="23" spans="1:13" ht="15.75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9"/>
      <c r="K23" s="17"/>
      <c r="L23" s="17"/>
      <c r="M23" s="17"/>
    </row>
    <row r="24" spans="1:13" ht="15.7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9"/>
      <c r="K24" s="17"/>
      <c r="L24" s="17"/>
      <c r="M24" s="17"/>
    </row>
    <row r="25" spans="1:13" ht="15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9"/>
      <c r="K25" s="17"/>
      <c r="L25" s="17"/>
      <c r="M25" s="17"/>
    </row>
    <row r="26" spans="1:13" ht="15.7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9"/>
      <c r="K26" s="17"/>
      <c r="L26" s="17"/>
      <c r="M26" s="17"/>
    </row>
    <row r="27" spans="1:13" ht="15.7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9"/>
      <c r="K27" s="17"/>
      <c r="L27" s="17"/>
      <c r="M27" s="17"/>
    </row>
    <row r="28" spans="1:13" ht="15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9"/>
      <c r="K28" s="17"/>
      <c r="L28" s="17"/>
      <c r="M28" s="17"/>
    </row>
    <row r="29" spans="1:13" ht="15.7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9"/>
      <c r="K29" s="17"/>
      <c r="L29" s="17"/>
      <c r="M29" s="17"/>
    </row>
    <row r="30" spans="1:13" ht="15.7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9"/>
      <c r="K30" s="17"/>
      <c r="L30" s="17"/>
      <c r="M30" s="17"/>
    </row>
    <row r="31" spans="1:13" ht="18" x14ac:dyDescent="0.25">
      <c r="A31" s="87"/>
      <c r="B31" s="87"/>
      <c r="C31" s="87"/>
      <c r="D31" s="88"/>
      <c r="E31" s="89"/>
      <c r="F31" s="89"/>
      <c r="G31" s="89"/>
      <c r="H31" s="88"/>
      <c r="I31" s="88" t="s">
        <v>15</v>
      </c>
      <c r="J31" s="69">
        <f t="shared" ref="J31:K31" si="0">SUM(J2:J30)</f>
        <v>21800000</v>
      </c>
      <c r="K31" s="90">
        <f t="shared" si="0"/>
        <v>5500000</v>
      </c>
      <c r="L31" s="87"/>
      <c r="M31" s="71"/>
    </row>
    <row r="32" spans="1:13" ht="15.75" customHeight="1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ht="15.7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ht="15.75" customHeight="1" x14ac:dyDescent="0.2">
      <c r="A34" s="72"/>
      <c r="B34" s="72"/>
      <c r="C34" s="72"/>
      <c r="D34" s="72"/>
      <c r="E34" s="72"/>
      <c r="F34" s="72"/>
      <c r="G34" s="72"/>
      <c r="H34" s="73"/>
      <c r="I34" s="72"/>
      <c r="J34" s="72"/>
      <c r="K34" s="72"/>
      <c r="L34" s="72"/>
      <c r="M34" s="72"/>
    </row>
    <row r="35" spans="1:13" ht="15.75" customHeight="1" x14ac:dyDescent="0.2">
      <c r="A35" s="92" t="s">
        <v>62</v>
      </c>
      <c r="B35" s="93"/>
      <c r="C35" s="92" t="s">
        <v>16</v>
      </c>
      <c r="D35" s="93"/>
      <c r="E35" s="92" t="s">
        <v>256</v>
      </c>
      <c r="F35" s="93"/>
      <c r="G35" s="92" t="s">
        <v>17</v>
      </c>
      <c r="H35" s="93"/>
      <c r="I35" s="92" t="s">
        <v>18</v>
      </c>
      <c r="J35" s="93"/>
      <c r="K35" s="92" t="s">
        <v>10</v>
      </c>
      <c r="L35" s="93"/>
      <c r="M35" s="72"/>
    </row>
    <row r="36" spans="1:13" ht="15" x14ac:dyDescent="0.2">
      <c r="A36" s="74" t="s">
        <v>14</v>
      </c>
      <c r="B36" s="75">
        <f>COUNTIF(D2:D30, "Retirement")</f>
        <v>4</v>
      </c>
      <c r="C36" s="74" t="s">
        <v>19</v>
      </c>
      <c r="D36" s="75">
        <f>COUNTIF(F2:F30,"Client")</f>
        <v>2</v>
      </c>
      <c r="E36" s="74" t="s">
        <v>257</v>
      </c>
      <c r="F36" s="75">
        <f>COUNTIF(G2:G30, "TC")</f>
        <v>4</v>
      </c>
      <c r="G36" s="74" t="s">
        <v>21</v>
      </c>
      <c r="H36" s="75">
        <f>COUNTIF(H2:H30, "Yes")</f>
        <v>5</v>
      </c>
      <c r="I36" s="74" t="s">
        <v>22</v>
      </c>
      <c r="J36" s="75">
        <f>COUNTIF(I2:I30, "Lead")</f>
        <v>2</v>
      </c>
      <c r="K36" s="74" t="s">
        <v>257</v>
      </c>
      <c r="L36" s="75">
        <f>COUNTIF(L2:L30, "JM")</f>
        <v>1</v>
      </c>
      <c r="M36" s="72"/>
    </row>
    <row r="37" spans="1:13" ht="15" x14ac:dyDescent="0.2">
      <c r="A37" s="74" t="s">
        <v>12</v>
      </c>
      <c r="B37" s="75">
        <f>COUNTIF(D2:D30, "Women w/ Loss")</f>
        <v>2</v>
      </c>
      <c r="C37" s="74" t="s">
        <v>24</v>
      </c>
      <c r="D37" s="75">
        <f>COUNTIF(F2:F30,"COI")</f>
        <v>3</v>
      </c>
      <c r="E37" s="74" t="s">
        <v>258</v>
      </c>
      <c r="F37" s="75">
        <f>COUNTIF(G2:G30, "JM")</f>
        <v>3</v>
      </c>
      <c r="G37" s="74" t="s">
        <v>25</v>
      </c>
      <c r="H37" s="75">
        <f>COUNTIF(H2:H30, "No")</f>
        <v>5</v>
      </c>
      <c r="I37" s="74" t="s">
        <v>26</v>
      </c>
      <c r="J37" s="75">
        <f>COUNTIF(I2:I30, "Prospect")</f>
        <v>1</v>
      </c>
      <c r="K37" s="74" t="s">
        <v>258</v>
      </c>
      <c r="L37" s="75">
        <f>COUNTIF(L2:L30, "AB")</f>
        <v>1</v>
      </c>
      <c r="M37" s="72"/>
    </row>
    <row r="38" spans="1:13" ht="15" x14ac:dyDescent="0.2">
      <c r="A38" s="74" t="s">
        <v>28</v>
      </c>
      <c r="B38" s="75">
        <f>COUNTIF(D2:D30, "Business Owner")</f>
        <v>5</v>
      </c>
      <c r="C38" s="74" t="s">
        <v>29</v>
      </c>
      <c r="D38" s="75">
        <f>COUNTIF(F2:F30,"Digital")</f>
        <v>2</v>
      </c>
      <c r="E38" s="74" t="s">
        <v>259</v>
      </c>
      <c r="F38" s="75">
        <f>COUNTIF(G2:G30, "SM")</f>
        <v>3</v>
      </c>
      <c r="G38" s="74" t="s">
        <v>31</v>
      </c>
      <c r="H38" s="75">
        <f>COUNTIF(H2:H30, "Unknown")</f>
        <v>2</v>
      </c>
      <c r="I38" s="74" t="s">
        <v>32</v>
      </c>
      <c r="J38" s="75">
        <f>COUNTIF(I2:I30, "On-Boarding")</f>
        <v>3</v>
      </c>
      <c r="K38" s="74" t="s">
        <v>259</v>
      </c>
      <c r="L38" s="75">
        <f>COUNTIF(L2:L30, "SM")</f>
        <v>1</v>
      </c>
      <c r="M38" s="72"/>
    </row>
    <row r="39" spans="1:13" ht="15" x14ac:dyDescent="0.2">
      <c r="A39" s="74"/>
      <c r="B39" s="75"/>
      <c r="C39" s="74" t="s">
        <v>33</v>
      </c>
      <c r="D39" s="75">
        <f>COUNTIF(F2:F30,"Networking")</f>
        <v>2</v>
      </c>
      <c r="E39" s="74" t="s">
        <v>260</v>
      </c>
      <c r="F39" s="75">
        <f>COUNTIF(G2:G30, "AB")</f>
        <v>2</v>
      </c>
      <c r="G39" s="74"/>
      <c r="H39" s="75"/>
      <c r="I39" s="74" t="s">
        <v>19</v>
      </c>
      <c r="J39" s="75">
        <f>COUNTIF(I2:I30, "Client")</f>
        <v>2</v>
      </c>
      <c r="K39" s="74"/>
      <c r="L39" s="75"/>
      <c r="M39" s="72"/>
    </row>
    <row r="40" spans="1:13" ht="15" x14ac:dyDescent="0.2">
      <c r="A40" s="74"/>
      <c r="B40" s="75"/>
      <c r="C40" s="74" t="s">
        <v>35</v>
      </c>
      <c r="D40" s="75">
        <f>COUNTIF(F2:F30,"Presentation")</f>
        <v>2</v>
      </c>
      <c r="E40" s="74"/>
      <c r="F40" s="75"/>
      <c r="G40" s="74"/>
      <c r="H40" s="75"/>
      <c r="I40" s="74" t="s">
        <v>34</v>
      </c>
      <c r="J40" s="75">
        <f>COUNTIF(I2:I30, "No Go")</f>
        <v>2</v>
      </c>
      <c r="K40" s="74"/>
      <c r="L40" s="75"/>
      <c r="M40" s="72"/>
    </row>
    <row r="41" spans="1:13" ht="15" x14ac:dyDescent="0.2">
      <c r="A41" s="76"/>
      <c r="B41" s="77"/>
      <c r="C41" s="76" t="s">
        <v>36</v>
      </c>
      <c r="D41" s="77">
        <f>COUNTIF(F2:F30,"Natural Market")</f>
        <v>1</v>
      </c>
      <c r="E41" s="76"/>
      <c r="F41" s="77"/>
      <c r="G41" s="76"/>
      <c r="H41" s="77"/>
      <c r="I41" s="76" t="s">
        <v>37</v>
      </c>
      <c r="J41" s="77">
        <f>COUNTIF(I2:I30, "N/A")</f>
        <v>2</v>
      </c>
      <c r="K41" s="76"/>
      <c r="L41" s="77"/>
      <c r="M41" s="72"/>
    </row>
    <row r="42" spans="1:13" ht="15.75" customHeight="1" x14ac:dyDescent="0.2">
      <c r="A42" s="72"/>
      <c r="B42" s="72"/>
      <c r="C42" s="94" t="s">
        <v>38</v>
      </c>
      <c r="D42" s="95"/>
      <c r="E42" s="94" t="s">
        <v>38</v>
      </c>
      <c r="F42" s="95"/>
      <c r="G42" s="72"/>
      <c r="H42" s="72"/>
      <c r="I42" s="72"/>
      <c r="J42" s="72"/>
      <c r="K42" s="94" t="s">
        <v>11</v>
      </c>
      <c r="L42" s="95"/>
      <c r="M42" s="72"/>
    </row>
    <row r="43" spans="1:13" ht="15" x14ac:dyDescent="0.2">
      <c r="A43" s="78"/>
      <c r="B43" s="78"/>
      <c r="C43" s="74" t="s">
        <v>19</v>
      </c>
      <c r="D43" s="54">
        <f>COUNTIFS(F2:F30, "Client",H2:H30,"Yes")</f>
        <v>1</v>
      </c>
      <c r="E43" s="55" t="s">
        <v>257</v>
      </c>
      <c r="F43" s="54">
        <f>COUNTIFS(G2:G30, "TC",H2:H30,"Yes")</f>
        <v>2</v>
      </c>
      <c r="G43" s="72"/>
      <c r="H43" s="72"/>
      <c r="I43" s="72"/>
      <c r="J43" s="72"/>
      <c r="K43" s="53" t="s">
        <v>257</v>
      </c>
      <c r="L43" s="54">
        <f>COUNTIFS(L2:L30,"JM", I2:I30,"Client")</f>
        <v>1</v>
      </c>
      <c r="M43" s="72"/>
    </row>
    <row r="44" spans="1:13" ht="15" x14ac:dyDescent="0.2">
      <c r="A44" s="78"/>
      <c r="B44" s="78"/>
      <c r="C44" s="74" t="s">
        <v>24</v>
      </c>
      <c r="D44" s="54">
        <f>COUNTIFS(F2:F30, "COI",H2:H30,"Yes")</f>
        <v>2</v>
      </c>
      <c r="E44" s="55" t="s">
        <v>258</v>
      </c>
      <c r="F44" s="54">
        <f>COUNTIFS(G2:G30, "JM",H2:H30,"Yes")</f>
        <v>1</v>
      </c>
      <c r="G44" s="72"/>
      <c r="H44" s="72"/>
      <c r="I44" s="72"/>
      <c r="J44" s="72"/>
      <c r="K44" s="53" t="s">
        <v>258</v>
      </c>
      <c r="L44" s="54">
        <f>COUNTIFS(L2:L30,"AB", I2:I30,"Client")</f>
        <v>1</v>
      </c>
      <c r="M44" s="72"/>
    </row>
    <row r="45" spans="1:13" ht="15" x14ac:dyDescent="0.2">
      <c r="A45" s="78"/>
      <c r="B45" s="78"/>
      <c r="C45" s="74" t="s">
        <v>29</v>
      </c>
      <c r="D45" s="54">
        <f>COUNTIFS(F2:F30, "Digital",H2:H30,"Yes")</f>
        <v>0</v>
      </c>
      <c r="E45" s="55" t="s">
        <v>259</v>
      </c>
      <c r="F45" s="54">
        <f>COUNTIFS(G2:G30, "SM",H2:H30,"Yes")</f>
        <v>1</v>
      </c>
      <c r="G45" s="72"/>
      <c r="H45" s="72"/>
      <c r="I45" s="72"/>
      <c r="J45" s="72"/>
      <c r="K45" s="53" t="s">
        <v>259</v>
      </c>
      <c r="L45" s="54">
        <f>COUNTIFS(L2:L30,"SM", I2:I30,"Client")</f>
        <v>0</v>
      </c>
      <c r="M45" s="72"/>
    </row>
    <row r="46" spans="1:13" ht="15" x14ac:dyDescent="0.2">
      <c r="A46" s="78"/>
      <c r="B46" s="78"/>
      <c r="C46" s="74" t="s">
        <v>33</v>
      </c>
      <c r="D46" s="54">
        <f>COUNTIFS(F2:F30, "Networking",H2:H30,"Yes")</f>
        <v>1</v>
      </c>
      <c r="E46" s="55" t="s">
        <v>260</v>
      </c>
      <c r="F46" s="54">
        <f>COUNTIFS(G2:G30, "AB",H2:H30,"Yes")</f>
        <v>1</v>
      </c>
      <c r="G46" s="72"/>
      <c r="H46" s="72"/>
      <c r="I46" s="72"/>
      <c r="J46" s="72"/>
      <c r="K46" s="79"/>
      <c r="L46" s="54"/>
      <c r="M46" s="72"/>
    </row>
    <row r="47" spans="1:13" ht="15" x14ac:dyDescent="0.2">
      <c r="A47" s="78"/>
      <c r="B47" s="78"/>
      <c r="C47" s="74" t="s">
        <v>35</v>
      </c>
      <c r="D47" s="54">
        <f>COUNTIFS(F2:F30, "Presentation",H2:H30,"Yes")</f>
        <v>1</v>
      </c>
      <c r="E47" s="55"/>
      <c r="F47" s="80"/>
      <c r="G47" s="72"/>
      <c r="H47" s="72"/>
      <c r="I47" s="72"/>
      <c r="J47" s="72"/>
      <c r="K47" s="79"/>
      <c r="L47" s="54"/>
      <c r="M47" s="72"/>
    </row>
    <row r="48" spans="1:13" ht="15" x14ac:dyDescent="0.2">
      <c r="A48" s="78"/>
      <c r="B48" s="78"/>
      <c r="C48" s="76" t="s">
        <v>36</v>
      </c>
      <c r="D48" s="54">
        <f>COUNTIFS(F2:F30, "Natural Market",H2:H30,"Yes")</f>
        <v>0</v>
      </c>
      <c r="E48" s="81"/>
      <c r="F48" s="82"/>
      <c r="G48" s="72"/>
      <c r="H48" s="72"/>
      <c r="I48" s="72"/>
      <c r="J48" s="72"/>
      <c r="K48" s="83"/>
      <c r="L48" s="84"/>
      <c r="M48" s="72"/>
    </row>
    <row r="49" spans="1:13" ht="15" x14ac:dyDescent="0.2">
      <c r="A49" s="78"/>
      <c r="B49" s="78"/>
      <c r="C49" s="94" t="s">
        <v>39</v>
      </c>
      <c r="D49" s="95"/>
      <c r="E49" s="94" t="s">
        <v>39</v>
      </c>
      <c r="F49" s="95"/>
      <c r="G49" s="72"/>
      <c r="H49" s="72"/>
      <c r="I49" s="72"/>
      <c r="J49" s="72"/>
      <c r="K49" s="72"/>
      <c r="L49" s="72"/>
      <c r="M49" s="72"/>
    </row>
    <row r="50" spans="1:13" ht="15.75" customHeight="1" x14ac:dyDescent="0.2">
      <c r="A50" s="72"/>
      <c r="B50" s="72"/>
      <c r="C50" s="53" t="s">
        <v>19</v>
      </c>
      <c r="D50" s="54">
        <f>COUNTIFS(F2:F30, "Client",I2:I30,"Client")</f>
        <v>0</v>
      </c>
      <c r="E50" s="55" t="s">
        <v>257</v>
      </c>
      <c r="F50" s="54">
        <f>COUNTIFS(G2:G30, "TC",I2:I30,"Client")</f>
        <v>2</v>
      </c>
      <c r="G50" s="72"/>
      <c r="H50" s="72"/>
      <c r="I50" s="72"/>
      <c r="J50" s="72"/>
      <c r="K50" s="72"/>
      <c r="L50" s="72"/>
      <c r="M50" s="72"/>
    </row>
    <row r="51" spans="1:13" ht="15.75" customHeight="1" x14ac:dyDescent="0.2">
      <c r="A51" s="72"/>
      <c r="B51" s="72"/>
      <c r="C51" s="53" t="s">
        <v>24</v>
      </c>
      <c r="D51" s="54">
        <f>COUNTIFS(F2:F30,"COI",I2:I30,"Client")</f>
        <v>2</v>
      </c>
      <c r="E51" s="55" t="s">
        <v>258</v>
      </c>
      <c r="F51" s="54">
        <f>COUNTIFS(G2:G30, "JM",I2:I30,"Client")</f>
        <v>0</v>
      </c>
      <c r="G51" s="72"/>
      <c r="H51" s="72"/>
      <c r="I51" s="72"/>
      <c r="J51" s="72"/>
      <c r="K51" s="72"/>
      <c r="L51" s="72"/>
      <c r="M51" s="72"/>
    </row>
    <row r="52" spans="1:13" ht="15.75" customHeight="1" x14ac:dyDescent="0.2">
      <c r="A52" s="72"/>
      <c r="B52" s="72"/>
      <c r="C52" s="53" t="s">
        <v>29</v>
      </c>
      <c r="D52" s="54">
        <f>COUNTIFS(F2:F30, "Digital",I2:I30,"Client")</f>
        <v>0</v>
      </c>
      <c r="E52" s="55" t="s">
        <v>259</v>
      </c>
      <c r="F52" s="54">
        <f>COUNTIFS(G2:G30, "SM",I2:I30,"Client")</f>
        <v>0</v>
      </c>
      <c r="G52" s="72"/>
      <c r="H52" s="72"/>
      <c r="I52" s="72"/>
      <c r="J52" s="72"/>
      <c r="K52" s="72"/>
      <c r="L52" s="72"/>
      <c r="M52" s="72"/>
    </row>
    <row r="53" spans="1:13" ht="15.75" customHeight="1" x14ac:dyDescent="0.2">
      <c r="A53" s="72"/>
      <c r="B53" s="72"/>
      <c r="C53" s="53" t="s">
        <v>33</v>
      </c>
      <c r="D53" s="54">
        <f>COUNTIFS(F2:F30, "Networking",I2:I30,"Client")</f>
        <v>0</v>
      </c>
      <c r="E53" s="55" t="s">
        <v>260</v>
      </c>
      <c r="F53" s="54">
        <f>COUNTIFS(G2:G30, "AB",I2:I30,"Client")</f>
        <v>0</v>
      </c>
      <c r="G53" s="72"/>
      <c r="H53" s="72"/>
      <c r="I53" s="72"/>
      <c r="J53" s="72"/>
      <c r="K53" s="72"/>
      <c r="L53" s="72"/>
      <c r="M53" s="72"/>
    </row>
    <row r="54" spans="1:13" ht="15.75" customHeight="1" x14ac:dyDescent="0.2">
      <c r="A54" s="72"/>
      <c r="B54" s="72"/>
      <c r="C54" s="53" t="s">
        <v>35</v>
      </c>
      <c r="D54" s="54">
        <f>COUNTIFS(F2:F30, "Presentation",I2:I30,"Client")</f>
        <v>0</v>
      </c>
      <c r="E54" s="55"/>
      <c r="F54" s="80"/>
      <c r="G54" s="72"/>
      <c r="H54" s="72"/>
      <c r="I54" s="72"/>
      <c r="J54" s="72"/>
      <c r="K54" s="72"/>
      <c r="L54" s="72"/>
      <c r="M54" s="72"/>
    </row>
    <row r="55" spans="1:13" ht="15.75" customHeight="1" x14ac:dyDescent="0.2">
      <c r="A55" s="72"/>
      <c r="B55" s="72"/>
      <c r="C55" s="85" t="s">
        <v>36</v>
      </c>
      <c r="D55" s="86">
        <f>COUNTIFS(F2:F30, "Natural Market",I2:I30,"Client")</f>
        <v>0</v>
      </c>
      <c r="E55" s="81"/>
      <c r="F55" s="82"/>
      <c r="G55" s="72"/>
      <c r="H55" s="72"/>
      <c r="I55" s="72"/>
      <c r="J55" s="72"/>
      <c r="K55" s="72"/>
      <c r="L55" s="72"/>
      <c r="M55" s="72"/>
    </row>
    <row r="56" spans="1:13" ht="15.75" customHeight="1" x14ac:dyDescent="0.2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1:13" ht="15.75" customHeight="1" x14ac:dyDescent="0.2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1:13" ht="15.75" customHeight="1" x14ac:dyDescent="0.2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</row>
    <row r="59" spans="1:13" ht="15.75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 ht="15.75" customHeight="1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1:13" ht="15.75" customHeight="1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</row>
    <row r="62" spans="1:13" ht="15.75" customHeight="1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</row>
    <row r="63" spans="1:13" ht="15.75" customHeight="1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1:13" ht="15.75" customHeight="1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</row>
    <row r="65" spans="1:13" ht="15.75" customHeight="1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ht="15.75" customHeight="1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5.75" customHeight="1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</row>
  </sheetData>
  <mergeCells count="11">
    <mergeCell ref="E42:F42"/>
    <mergeCell ref="E49:F49"/>
    <mergeCell ref="C42:D42"/>
    <mergeCell ref="C49:D49"/>
    <mergeCell ref="K42:L42"/>
    <mergeCell ref="A35:B35"/>
    <mergeCell ref="C35:D35"/>
    <mergeCell ref="I35:J35"/>
    <mergeCell ref="G35:H35"/>
    <mergeCell ref="K35:L35"/>
    <mergeCell ref="E35:F35"/>
  </mergeCells>
  <dataValidations count="7">
    <dataValidation type="list" allowBlank="1" sqref="M2:M30" xr:uid="{00000000-0002-0000-0200-000000000000}">
      <formula1>"JM,AB,SM,No Go"</formula1>
    </dataValidation>
    <dataValidation type="list" allowBlank="1" sqref="H2:H30" xr:uid="{00000000-0002-0000-0200-000001000000}">
      <formula1>"Yes,No,Unknown"</formula1>
    </dataValidation>
    <dataValidation type="list" allowBlank="1" sqref="I2:I30" xr:uid="{00000000-0002-0000-0200-000002000000}">
      <formula1>"Lead,Prospect,On-Boarding,Client,No Go,N/A"</formula1>
    </dataValidation>
    <dataValidation type="list" allowBlank="1" sqref="G2:G30" xr:uid="{00000000-0002-0000-0200-000003000000}">
      <formula1>"TC,JM,SM,AB"</formula1>
    </dataValidation>
    <dataValidation type="list" allowBlank="1" sqref="F2:F30" xr:uid="{00000000-0002-0000-0200-000004000000}">
      <formula1>"Client,COI,Digital,Networking,Presentation,Natural Market"</formula1>
    </dataValidation>
    <dataValidation type="list" allowBlank="1" sqref="L2:L30" xr:uid="{00000000-0002-0000-0200-000005000000}">
      <formula1>"JM,AB,SM"</formula1>
    </dataValidation>
    <dataValidation type="list" allowBlank="1" sqref="D2:D30" xr:uid="{00000000-0002-0000-0200-000006000000}">
      <formula1>"Retirement,Women w/ Loss,Pro Bono,Business Owner, Family Relationship"</formula1>
    </dataValidation>
  </dataValidation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66"/>
  <sheetViews>
    <sheetView topLeftCell="A46" workbookViewId="0">
      <selection activeCell="C6" sqref="C6"/>
    </sheetView>
  </sheetViews>
  <sheetFormatPr defaultColWidth="14.42578125" defaultRowHeight="15.75" customHeight="1" x14ac:dyDescent="0.2"/>
  <cols>
    <col min="1" max="2" width="23.140625" customWidth="1"/>
    <col min="3" max="3" width="31.42578125" bestFit="1" customWidth="1"/>
    <col min="4" max="4" width="30.42578125" bestFit="1" customWidth="1"/>
    <col min="5" max="7" width="23.140625" customWidth="1"/>
  </cols>
  <sheetData>
    <row r="1" spans="1:7" ht="15.75" customHeight="1" x14ac:dyDescent="0.2">
      <c r="A1" s="22" t="s">
        <v>0</v>
      </c>
      <c r="B1" s="22" t="s">
        <v>1</v>
      </c>
      <c r="C1" s="22" t="s">
        <v>40</v>
      </c>
      <c r="D1" s="22" t="s">
        <v>46</v>
      </c>
      <c r="E1" s="22" t="s">
        <v>45</v>
      </c>
      <c r="F1" s="22" t="s">
        <v>7</v>
      </c>
      <c r="G1" s="22" t="s">
        <v>47</v>
      </c>
    </row>
    <row r="2" spans="1:7" ht="15.75" customHeight="1" x14ac:dyDescent="0.2">
      <c r="A2" s="16" t="s">
        <v>24</v>
      </c>
      <c r="B2" s="16" t="s">
        <v>143</v>
      </c>
      <c r="C2" s="16"/>
      <c r="D2" s="16" t="s">
        <v>88</v>
      </c>
      <c r="E2" s="16" t="s">
        <v>28</v>
      </c>
      <c r="F2" s="16" t="s">
        <v>68</v>
      </c>
      <c r="G2" s="16" t="s">
        <v>66</v>
      </c>
    </row>
    <row r="3" spans="1:7" ht="15.75" customHeight="1" x14ac:dyDescent="0.2">
      <c r="A3" s="16" t="s">
        <v>149</v>
      </c>
      <c r="B3" s="16" t="s">
        <v>144</v>
      </c>
      <c r="C3" s="16"/>
      <c r="D3" s="16" t="s">
        <v>92</v>
      </c>
      <c r="E3" s="16" t="s">
        <v>64</v>
      </c>
      <c r="F3" s="16" t="s">
        <v>68</v>
      </c>
      <c r="G3" s="16" t="s">
        <v>66</v>
      </c>
    </row>
    <row r="4" spans="1:7" ht="15.75" customHeight="1" x14ac:dyDescent="0.2">
      <c r="A4" s="16" t="s">
        <v>24</v>
      </c>
      <c r="B4" s="16" t="s">
        <v>145</v>
      </c>
      <c r="C4" s="16"/>
      <c r="D4" s="16" t="s">
        <v>115</v>
      </c>
      <c r="E4" s="16" t="s">
        <v>28</v>
      </c>
      <c r="F4" s="16" t="s">
        <v>68</v>
      </c>
      <c r="G4" s="16" t="s">
        <v>66</v>
      </c>
    </row>
    <row r="5" spans="1:7" ht="15.75" customHeight="1" x14ac:dyDescent="0.2">
      <c r="A5" s="16" t="s">
        <v>149</v>
      </c>
      <c r="B5" s="16" t="s">
        <v>146</v>
      </c>
      <c r="C5" s="16"/>
      <c r="D5" s="16" t="s">
        <v>116</v>
      </c>
      <c r="E5" s="16" t="s">
        <v>28</v>
      </c>
      <c r="F5" s="16" t="s">
        <v>34</v>
      </c>
      <c r="G5" s="16" t="s">
        <v>67</v>
      </c>
    </row>
    <row r="6" spans="1:7" ht="15.75" customHeight="1" x14ac:dyDescent="0.2">
      <c r="A6" s="16" t="s">
        <v>24</v>
      </c>
      <c r="B6" s="16" t="s">
        <v>150</v>
      </c>
      <c r="C6" s="16"/>
      <c r="D6" s="16" t="s">
        <v>89</v>
      </c>
      <c r="E6" s="16" t="s">
        <v>64</v>
      </c>
      <c r="F6" s="16" t="s">
        <v>34</v>
      </c>
      <c r="G6" s="16" t="s">
        <v>67</v>
      </c>
    </row>
    <row r="7" spans="1:7" ht="15.75" customHeight="1" x14ac:dyDescent="0.2">
      <c r="A7" s="16" t="s">
        <v>149</v>
      </c>
      <c r="B7" s="16" t="s">
        <v>151</v>
      </c>
      <c r="C7" s="16"/>
      <c r="D7" s="16" t="s">
        <v>102</v>
      </c>
      <c r="E7" s="16" t="s">
        <v>12</v>
      </c>
      <c r="F7" s="16" t="s">
        <v>34</v>
      </c>
      <c r="G7" s="16" t="s">
        <v>67</v>
      </c>
    </row>
    <row r="8" spans="1:7" ht="15.75" customHeight="1" x14ac:dyDescent="0.2">
      <c r="A8" s="16" t="s">
        <v>24</v>
      </c>
      <c r="B8" s="16" t="s">
        <v>152</v>
      </c>
      <c r="C8" s="16"/>
      <c r="D8" s="16" t="s">
        <v>93</v>
      </c>
      <c r="E8" s="16" t="s">
        <v>64</v>
      </c>
      <c r="F8" s="16" t="s">
        <v>32</v>
      </c>
      <c r="G8" s="16"/>
    </row>
    <row r="9" spans="1:7" ht="15.75" customHeight="1" x14ac:dyDescent="0.2">
      <c r="A9" s="16" t="s">
        <v>149</v>
      </c>
      <c r="B9" s="16" t="s">
        <v>153</v>
      </c>
      <c r="C9" s="16"/>
      <c r="D9" s="16" t="s">
        <v>127</v>
      </c>
      <c r="E9" s="16" t="s">
        <v>64</v>
      </c>
      <c r="F9" s="16" t="s">
        <v>22</v>
      </c>
      <c r="G9" s="16"/>
    </row>
    <row r="10" spans="1:7" ht="15.75" customHeight="1" x14ac:dyDescent="0.2">
      <c r="A10" s="16" t="s">
        <v>24</v>
      </c>
      <c r="B10" s="16" t="s">
        <v>154</v>
      </c>
      <c r="C10" s="16"/>
      <c r="D10" s="16" t="s">
        <v>89</v>
      </c>
      <c r="E10" s="16" t="s">
        <v>64</v>
      </c>
      <c r="F10" s="16" t="s">
        <v>32</v>
      </c>
      <c r="G10" s="16"/>
    </row>
    <row r="11" spans="1:7" ht="15.75" customHeight="1" x14ac:dyDescent="0.2">
      <c r="A11" s="16" t="s">
        <v>149</v>
      </c>
      <c r="B11" s="16" t="s">
        <v>155</v>
      </c>
      <c r="C11" s="16"/>
      <c r="D11" s="16" t="s">
        <v>88</v>
      </c>
      <c r="E11" s="16" t="s">
        <v>28</v>
      </c>
      <c r="F11" s="16" t="s">
        <v>32</v>
      </c>
      <c r="G11" s="16"/>
    </row>
    <row r="12" spans="1:7" ht="15.75" customHeight="1" x14ac:dyDescent="0.2">
      <c r="A12" s="16" t="s">
        <v>24</v>
      </c>
      <c r="B12" s="16" t="s">
        <v>156</v>
      </c>
      <c r="C12" s="16"/>
      <c r="D12" s="16" t="s">
        <v>96</v>
      </c>
      <c r="E12" s="16" t="s">
        <v>28</v>
      </c>
      <c r="F12" s="16" t="s">
        <v>32</v>
      </c>
      <c r="G12" s="16"/>
    </row>
    <row r="13" spans="1:7" ht="15.75" customHeight="1" x14ac:dyDescent="0.2">
      <c r="A13" s="16" t="s">
        <v>149</v>
      </c>
      <c r="B13" s="16" t="s">
        <v>157</v>
      </c>
      <c r="C13" s="16"/>
      <c r="D13" s="16" t="s">
        <v>97</v>
      </c>
      <c r="E13" s="16" t="s">
        <v>64</v>
      </c>
      <c r="F13" s="16" t="s">
        <v>32</v>
      </c>
      <c r="G13" s="16"/>
    </row>
    <row r="14" spans="1:7" ht="15.75" customHeight="1" x14ac:dyDescent="0.2">
      <c r="A14" s="16" t="s">
        <v>24</v>
      </c>
      <c r="B14" s="16" t="s">
        <v>158</v>
      </c>
      <c r="C14" s="16"/>
      <c r="D14" s="16" t="s">
        <v>108</v>
      </c>
      <c r="E14" s="16" t="s">
        <v>64</v>
      </c>
      <c r="F14" s="16" t="s">
        <v>32</v>
      </c>
      <c r="G14" s="16"/>
    </row>
    <row r="15" spans="1:7" ht="15.75" customHeight="1" x14ac:dyDescent="0.2">
      <c r="A15" s="16" t="s">
        <v>149</v>
      </c>
      <c r="B15" s="16" t="s">
        <v>159</v>
      </c>
      <c r="C15" s="16"/>
      <c r="D15" s="16" t="s">
        <v>118</v>
      </c>
      <c r="E15" s="16" t="s">
        <v>64</v>
      </c>
      <c r="F15" s="16" t="s">
        <v>32</v>
      </c>
      <c r="G15" s="16"/>
    </row>
    <row r="16" spans="1:7" ht="15.75" customHeight="1" x14ac:dyDescent="0.2">
      <c r="A16" s="16" t="s">
        <v>24</v>
      </c>
      <c r="B16" s="16" t="s">
        <v>160</v>
      </c>
      <c r="C16" s="16"/>
      <c r="D16" s="16" t="s">
        <v>119</v>
      </c>
      <c r="E16" s="16" t="s">
        <v>64</v>
      </c>
      <c r="F16" s="16" t="s">
        <v>32</v>
      </c>
      <c r="G16" s="16"/>
    </row>
    <row r="17" spans="1:7" ht="15.75" customHeight="1" x14ac:dyDescent="0.2">
      <c r="A17" s="16" t="s">
        <v>149</v>
      </c>
      <c r="B17" s="16" t="s">
        <v>161</v>
      </c>
      <c r="C17" s="16"/>
      <c r="D17" s="16" t="s">
        <v>101</v>
      </c>
      <c r="E17" s="16" t="s">
        <v>64</v>
      </c>
      <c r="F17" s="16" t="s">
        <v>68</v>
      </c>
      <c r="G17" s="16" t="s">
        <v>66</v>
      </c>
    </row>
    <row r="18" spans="1:7" ht="15.75" customHeight="1" x14ac:dyDescent="0.2">
      <c r="A18" s="16" t="s">
        <v>24</v>
      </c>
      <c r="B18" s="16" t="s">
        <v>162</v>
      </c>
      <c r="C18" s="16"/>
      <c r="D18" s="16" t="s">
        <v>91</v>
      </c>
      <c r="E18" s="16" t="s">
        <v>28</v>
      </c>
      <c r="F18" s="16" t="s">
        <v>22</v>
      </c>
      <c r="G18" s="16"/>
    </row>
    <row r="19" spans="1:7" ht="15.75" customHeight="1" x14ac:dyDescent="0.2">
      <c r="A19" s="16" t="s">
        <v>149</v>
      </c>
      <c r="B19" s="16" t="s">
        <v>163</v>
      </c>
      <c r="C19" s="16"/>
      <c r="D19" s="16" t="s">
        <v>89</v>
      </c>
      <c r="E19" s="16" t="s">
        <v>28</v>
      </c>
      <c r="F19" s="16" t="s">
        <v>22</v>
      </c>
      <c r="G19" s="16"/>
    </row>
    <row r="20" spans="1:7" ht="15.75" customHeight="1" x14ac:dyDescent="0.2">
      <c r="A20" s="16" t="s">
        <v>24</v>
      </c>
      <c r="B20" s="16" t="s">
        <v>164</v>
      </c>
      <c r="C20" s="16"/>
      <c r="D20" s="16" t="s">
        <v>95</v>
      </c>
      <c r="E20" s="16" t="s">
        <v>28</v>
      </c>
      <c r="F20" s="16" t="s">
        <v>22</v>
      </c>
      <c r="G20" s="16"/>
    </row>
    <row r="21" spans="1:7" ht="15.75" customHeight="1" x14ac:dyDescent="0.2">
      <c r="A21" s="16" t="s">
        <v>149</v>
      </c>
      <c r="B21" s="16" t="s">
        <v>165</v>
      </c>
      <c r="C21" s="16"/>
      <c r="D21" s="16" t="s">
        <v>94</v>
      </c>
      <c r="E21" s="16" t="s">
        <v>64</v>
      </c>
      <c r="F21" s="16" t="s">
        <v>22</v>
      </c>
      <c r="G21" s="16"/>
    </row>
    <row r="22" spans="1:7" ht="15.75" customHeight="1" x14ac:dyDescent="0.2">
      <c r="A22" s="16" t="s">
        <v>24</v>
      </c>
      <c r="B22" s="16" t="s">
        <v>166</v>
      </c>
      <c r="C22" s="16"/>
      <c r="D22" s="16" t="s">
        <v>89</v>
      </c>
      <c r="E22" s="16" t="s">
        <v>64</v>
      </c>
      <c r="F22" s="16" t="s">
        <v>22</v>
      </c>
      <c r="G22" s="16"/>
    </row>
    <row r="23" spans="1:7" ht="15.75" customHeight="1" x14ac:dyDescent="0.2">
      <c r="A23" s="16" t="s">
        <v>149</v>
      </c>
      <c r="B23" s="16" t="s">
        <v>167</v>
      </c>
      <c r="C23" s="16"/>
      <c r="D23" s="16" t="s">
        <v>88</v>
      </c>
      <c r="E23" s="16" t="s">
        <v>64</v>
      </c>
      <c r="F23" s="16" t="s">
        <v>22</v>
      </c>
      <c r="G23" s="16"/>
    </row>
    <row r="24" spans="1:7" ht="15.75" customHeight="1" x14ac:dyDescent="0.2">
      <c r="A24" s="16" t="s">
        <v>24</v>
      </c>
      <c r="B24" s="16" t="s">
        <v>168</v>
      </c>
      <c r="C24" s="16"/>
      <c r="D24" s="16" t="s">
        <v>98</v>
      </c>
      <c r="E24" s="16" t="s">
        <v>64</v>
      </c>
      <c r="F24" s="16" t="s">
        <v>34</v>
      </c>
      <c r="G24" s="16" t="s">
        <v>67</v>
      </c>
    </row>
    <row r="25" spans="1:7" ht="15.75" customHeight="1" x14ac:dyDescent="0.2">
      <c r="A25" s="16" t="s">
        <v>149</v>
      </c>
      <c r="B25" s="16" t="s">
        <v>169</v>
      </c>
      <c r="C25" s="16"/>
      <c r="D25" s="16" t="s">
        <v>90</v>
      </c>
      <c r="E25" s="16" t="s">
        <v>64</v>
      </c>
      <c r="F25" s="16" t="s">
        <v>22</v>
      </c>
      <c r="G25" s="16"/>
    </row>
    <row r="26" spans="1:7" ht="15.75" customHeight="1" x14ac:dyDescent="0.2">
      <c r="A26" s="16" t="s">
        <v>24</v>
      </c>
      <c r="B26" s="16" t="s">
        <v>170</v>
      </c>
      <c r="C26" s="16"/>
      <c r="D26" s="16" t="s">
        <v>88</v>
      </c>
      <c r="E26" s="16" t="s">
        <v>64</v>
      </c>
      <c r="F26" s="16" t="s">
        <v>68</v>
      </c>
      <c r="G26" s="16" t="s">
        <v>67</v>
      </c>
    </row>
    <row r="27" spans="1:7" ht="15.75" customHeight="1" x14ac:dyDescent="0.2">
      <c r="A27" s="16" t="s">
        <v>149</v>
      </c>
      <c r="B27" s="16" t="s">
        <v>171</v>
      </c>
      <c r="C27" s="16"/>
      <c r="D27" s="16" t="s">
        <v>99</v>
      </c>
      <c r="E27" s="16" t="s">
        <v>28</v>
      </c>
      <c r="F27" s="16" t="s">
        <v>22</v>
      </c>
      <c r="G27" s="16"/>
    </row>
    <row r="28" spans="1:7" ht="15.75" customHeight="1" x14ac:dyDescent="0.2">
      <c r="A28" s="16" t="s">
        <v>24</v>
      </c>
      <c r="B28" s="16" t="s">
        <v>172</v>
      </c>
      <c r="C28" s="16"/>
      <c r="D28" s="16" t="s">
        <v>100</v>
      </c>
      <c r="E28" s="16" t="s">
        <v>64</v>
      </c>
      <c r="F28" s="16" t="s">
        <v>32</v>
      </c>
      <c r="G28" s="16"/>
    </row>
    <row r="29" spans="1:7" ht="15.75" customHeight="1" x14ac:dyDescent="0.2">
      <c r="A29" s="16" t="s">
        <v>149</v>
      </c>
      <c r="B29" s="16" t="s">
        <v>173</v>
      </c>
      <c r="C29" s="16"/>
      <c r="D29" s="16" t="s">
        <v>102</v>
      </c>
      <c r="E29" s="16" t="s">
        <v>64</v>
      </c>
      <c r="F29" s="16" t="s">
        <v>22</v>
      </c>
      <c r="G29" s="16"/>
    </row>
    <row r="30" spans="1:7" ht="15.75" customHeight="1" x14ac:dyDescent="0.2">
      <c r="A30" s="16" t="s">
        <v>24</v>
      </c>
      <c r="B30" s="16" t="s">
        <v>174</v>
      </c>
      <c r="C30" s="16"/>
      <c r="D30" s="16" t="s">
        <v>103</v>
      </c>
      <c r="E30" s="16" t="s">
        <v>28</v>
      </c>
      <c r="F30" s="16" t="s">
        <v>22</v>
      </c>
      <c r="G30" s="16"/>
    </row>
    <row r="31" spans="1:7" ht="15.75" customHeight="1" x14ac:dyDescent="0.2">
      <c r="A31" s="16" t="s">
        <v>149</v>
      </c>
      <c r="B31" s="16" t="s">
        <v>175</v>
      </c>
      <c r="C31" s="16"/>
      <c r="D31" s="16" t="s">
        <v>104</v>
      </c>
      <c r="E31" s="16" t="s">
        <v>64</v>
      </c>
      <c r="F31" s="16" t="s">
        <v>32</v>
      </c>
      <c r="G31" s="16"/>
    </row>
    <row r="32" spans="1:7" ht="15.75" customHeight="1" x14ac:dyDescent="0.2">
      <c r="A32" s="16" t="s">
        <v>24</v>
      </c>
      <c r="B32" s="16" t="s">
        <v>176</v>
      </c>
      <c r="C32" s="16"/>
      <c r="D32" s="16" t="s">
        <v>105</v>
      </c>
      <c r="E32" s="16" t="s">
        <v>12</v>
      </c>
      <c r="F32" s="16" t="s">
        <v>22</v>
      </c>
      <c r="G32" s="16"/>
    </row>
    <row r="33" spans="1:7" ht="15.75" customHeight="1" x14ac:dyDescent="0.2">
      <c r="A33" s="16" t="s">
        <v>149</v>
      </c>
      <c r="B33" s="16" t="s">
        <v>177</v>
      </c>
      <c r="C33" s="16"/>
      <c r="D33" s="16" t="s">
        <v>106</v>
      </c>
      <c r="E33" s="16" t="s">
        <v>64</v>
      </c>
      <c r="F33" s="16" t="s">
        <v>22</v>
      </c>
      <c r="G33" s="16"/>
    </row>
    <row r="34" spans="1:7" ht="15.75" customHeight="1" x14ac:dyDescent="0.2">
      <c r="A34" s="16" t="s">
        <v>24</v>
      </c>
      <c r="B34" s="16" t="s">
        <v>178</v>
      </c>
      <c r="C34" s="16"/>
      <c r="D34" s="16" t="s">
        <v>107</v>
      </c>
      <c r="E34" s="16" t="s">
        <v>28</v>
      </c>
      <c r="F34" s="16" t="s">
        <v>32</v>
      </c>
      <c r="G34" s="16"/>
    </row>
    <row r="35" spans="1:7" ht="15.75" customHeight="1" x14ac:dyDescent="0.2">
      <c r="A35" s="16" t="s">
        <v>149</v>
      </c>
      <c r="B35" s="16" t="s">
        <v>179</v>
      </c>
      <c r="C35" s="16"/>
      <c r="D35" s="16" t="s">
        <v>117</v>
      </c>
      <c r="E35" s="16" t="s">
        <v>28</v>
      </c>
      <c r="F35" s="16" t="s">
        <v>22</v>
      </c>
      <c r="G35" s="16"/>
    </row>
    <row r="36" spans="1:7" ht="15.75" customHeight="1" x14ac:dyDescent="0.2">
      <c r="A36" s="16" t="s">
        <v>24</v>
      </c>
      <c r="B36" s="16" t="s">
        <v>180</v>
      </c>
      <c r="C36" s="16"/>
      <c r="D36" s="16" t="s">
        <v>109</v>
      </c>
      <c r="E36" s="16" t="s">
        <v>28</v>
      </c>
      <c r="F36" s="16" t="s">
        <v>22</v>
      </c>
      <c r="G36" s="16"/>
    </row>
    <row r="37" spans="1:7" ht="15.75" customHeight="1" x14ac:dyDescent="0.2">
      <c r="A37" s="16" t="s">
        <v>149</v>
      </c>
      <c r="B37" s="16" t="s">
        <v>181</v>
      </c>
      <c r="C37" s="16"/>
      <c r="D37" s="23" t="s">
        <v>193</v>
      </c>
      <c r="E37" s="16" t="s">
        <v>28</v>
      </c>
      <c r="F37" s="16" t="s">
        <v>22</v>
      </c>
      <c r="G37" s="16"/>
    </row>
    <row r="38" spans="1:7" ht="15.75" customHeight="1" x14ac:dyDescent="0.2">
      <c r="A38" s="16" t="s">
        <v>24</v>
      </c>
      <c r="B38" s="16" t="s">
        <v>182</v>
      </c>
      <c r="C38" s="16"/>
      <c r="D38" s="16" t="s">
        <v>108</v>
      </c>
      <c r="E38" s="16" t="s">
        <v>64</v>
      </c>
      <c r="F38" s="16" t="s">
        <v>68</v>
      </c>
      <c r="G38" s="16" t="s">
        <v>66</v>
      </c>
    </row>
    <row r="39" spans="1:7" ht="15.75" customHeight="1" x14ac:dyDescent="0.2">
      <c r="A39" s="16" t="s">
        <v>149</v>
      </c>
      <c r="B39" s="16" t="s">
        <v>183</v>
      </c>
      <c r="C39" s="16"/>
      <c r="D39" s="16" t="s">
        <v>108</v>
      </c>
      <c r="E39" s="16" t="s">
        <v>64</v>
      </c>
      <c r="F39" s="16" t="s">
        <v>22</v>
      </c>
      <c r="G39" s="16"/>
    </row>
    <row r="40" spans="1:7" ht="15.75" customHeight="1" x14ac:dyDescent="0.2">
      <c r="A40" s="16" t="s">
        <v>24</v>
      </c>
      <c r="B40" s="16" t="s">
        <v>184</v>
      </c>
      <c r="C40" s="16"/>
      <c r="D40" s="16" t="s">
        <v>194</v>
      </c>
      <c r="E40" s="16" t="s">
        <v>28</v>
      </c>
      <c r="F40" s="16" t="s">
        <v>22</v>
      </c>
      <c r="G40" s="16"/>
    </row>
    <row r="41" spans="1:7" ht="15.75" customHeight="1" x14ac:dyDescent="0.2">
      <c r="A41" s="16" t="s">
        <v>149</v>
      </c>
      <c r="B41" s="16" t="s">
        <v>185</v>
      </c>
      <c r="C41" s="16"/>
      <c r="D41" s="16" t="s">
        <v>110</v>
      </c>
      <c r="E41" s="16" t="s">
        <v>64</v>
      </c>
      <c r="F41" s="16" t="s">
        <v>68</v>
      </c>
      <c r="G41" s="16" t="s">
        <v>67</v>
      </c>
    </row>
    <row r="42" spans="1:7" ht="15.75" customHeight="1" x14ac:dyDescent="0.2">
      <c r="A42" s="16" t="s">
        <v>24</v>
      </c>
      <c r="B42" s="16" t="s">
        <v>186</v>
      </c>
      <c r="C42" s="16"/>
      <c r="D42" s="16" t="s">
        <v>111</v>
      </c>
      <c r="E42" s="16" t="s">
        <v>28</v>
      </c>
      <c r="F42" s="16" t="s">
        <v>32</v>
      </c>
      <c r="G42" s="16"/>
    </row>
    <row r="43" spans="1:7" ht="15.75" customHeight="1" x14ac:dyDescent="0.2">
      <c r="A43" s="16" t="s">
        <v>149</v>
      </c>
      <c r="B43" s="16" t="s">
        <v>187</v>
      </c>
      <c r="C43" s="16"/>
      <c r="D43" s="16" t="s">
        <v>112</v>
      </c>
      <c r="E43" s="16" t="s">
        <v>64</v>
      </c>
      <c r="F43" s="16" t="s">
        <v>32</v>
      </c>
      <c r="G43" s="16"/>
    </row>
    <row r="44" spans="1:7" ht="15.75" customHeight="1" x14ac:dyDescent="0.2">
      <c r="A44" s="16" t="s">
        <v>24</v>
      </c>
      <c r="B44" s="16" t="s">
        <v>188</v>
      </c>
      <c r="C44" s="16"/>
      <c r="D44" s="16" t="s">
        <v>113</v>
      </c>
      <c r="E44" s="16" t="s">
        <v>14</v>
      </c>
      <c r="F44" s="16" t="s">
        <v>22</v>
      </c>
      <c r="G44" s="16"/>
    </row>
    <row r="45" spans="1:7" ht="15.75" customHeight="1" x14ac:dyDescent="0.2">
      <c r="A45" s="16" t="s">
        <v>149</v>
      </c>
      <c r="B45" s="16" t="s">
        <v>189</v>
      </c>
      <c r="C45" s="16"/>
      <c r="D45" s="16" t="s">
        <v>114</v>
      </c>
      <c r="E45" s="16" t="s">
        <v>64</v>
      </c>
      <c r="F45" s="16" t="s">
        <v>22</v>
      </c>
      <c r="G45" s="16"/>
    </row>
    <row r="46" spans="1:7" ht="15.75" customHeight="1" x14ac:dyDescent="0.2">
      <c r="A46" s="16" t="s">
        <v>24</v>
      </c>
      <c r="B46" s="16" t="s">
        <v>190</v>
      </c>
      <c r="C46" s="16"/>
      <c r="D46" s="16" t="s">
        <v>106</v>
      </c>
      <c r="E46" s="16" t="s">
        <v>64</v>
      </c>
      <c r="F46" s="16" t="s">
        <v>22</v>
      </c>
      <c r="G46" s="16"/>
    </row>
    <row r="47" spans="1:7" ht="15.75" customHeight="1" x14ac:dyDescent="0.2">
      <c r="A47" s="16" t="s">
        <v>149</v>
      </c>
      <c r="B47" s="16" t="s">
        <v>191</v>
      </c>
      <c r="C47" s="16"/>
      <c r="D47" s="16" t="s">
        <v>120</v>
      </c>
      <c r="E47" s="16" t="s">
        <v>64</v>
      </c>
      <c r="F47" s="16" t="s">
        <v>22</v>
      </c>
      <c r="G47" s="16"/>
    </row>
    <row r="48" spans="1:7" ht="15.75" customHeight="1" x14ac:dyDescent="0.2">
      <c r="A48" s="16" t="s">
        <v>24</v>
      </c>
      <c r="B48" s="16" t="s">
        <v>192</v>
      </c>
      <c r="C48" s="16"/>
      <c r="D48" s="16" t="s">
        <v>121</v>
      </c>
      <c r="E48" s="16" t="s">
        <v>12</v>
      </c>
      <c r="F48" s="16" t="s">
        <v>22</v>
      </c>
      <c r="G48" s="16"/>
    </row>
    <row r="57" spans="1:7" ht="15.75" customHeight="1" x14ac:dyDescent="0.2">
      <c r="A57" s="4"/>
      <c r="B57" s="4"/>
      <c r="C57" s="4"/>
      <c r="D57" s="4"/>
      <c r="E57" s="4"/>
      <c r="F57" s="4"/>
      <c r="G57" s="4"/>
    </row>
    <row r="60" spans="1:7" ht="15.75" customHeight="1" x14ac:dyDescent="0.25">
      <c r="A60" s="96" t="s">
        <v>63</v>
      </c>
      <c r="B60" s="97"/>
      <c r="C60" s="98" t="s">
        <v>65</v>
      </c>
      <c r="D60" s="99"/>
      <c r="E60" s="100" t="s">
        <v>69</v>
      </c>
      <c r="F60" s="101"/>
    </row>
    <row r="61" spans="1:7" ht="15.75" customHeight="1" x14ac:dyDescent="0.25">
      <c r="A61" s="5" t="s">
        <v>14</v>
      </c>
      <c r="B61" s="1">
        <f>COUNTIF(E2:E56, "Retirement")</f>
        <v>1</v>
      </c>
      <c r="C61" s="11" t="s">
        <v>22</v>
      </c>
      <c r="D61" s="12">
        <f>COUNTIF(F2:F56, "Lead")</f>
        <v>23</v>
      </c>
      <c r="E61" s="11" t="s">
        <v>66</v>
      </c>
      <c r="F61" s="12">
        <f>COUNTIF(G2:G56, "influencer")</f>
        <v>5</v>
      </c>
    </row>
    <row r="62" spans="1:7" ht="15.75" customHeight="1" x14ac:dyDescent="0.25">
      <c r="A62" s="5" t="s">
        <v>12</v>
      </c>
      <c r="B62" s="1">
        <f>COUNTIF(E2:E56, "Women w/ Loss")</f>
        <v>3</v>
      </c>
      <c r="C62" s="11" t="s">
        <v>32</v>
      </c>
      <c r="D62" s="12">
        <f>COUNTIF(F2:F56, "On-Boarding")</f>
        <v>13</v>
      </c>
      <c r="E62" s="11" t="s">
        <v>67</v>
      </c>
      <c r="F62" s="12">
        <f>COUNTIF(G2:G56, "Popeye")</f>
        <v>6</v>
      </c>
    </row>
    <row r="63" spans="1:7" ht="15.75" customHeight="1" x14ac:dyDescent="0.25">
      <c r="A63" s="5" t="s">
        <v>28</v>
      </c>
      <c r="B63" s="1">
        <f>COUNTIF(E2:E56, "Business Owners")</f>
        <v>16</v>
      </c>
      <c r="C63" s="11" t="s">
        <v>68</v>
      </c>
      <c r="D63" s="12">
        <f>COUNTIF(F2:F56, "Committed/Yr 1")</f>
        <v>7</v>
      </c>
      <c r="E63" s="7"/>
      <c r="F63" s="8"/>
    </row>
    <row r="64" spans="1:7" ht="15.75" customHeight="1" x14ac:dyDescent="0.25">
      <c r="A64" s="5" t="s">
        <v>64</v>
      </c>
      <c r="B64" s="1">
        <f>COUNTIF(E2:E56, "Firm")</f>
        <v>27</v>
      </c>
      <c r="C64" s="11" t="s">
        <v>34</v>
      </c>
      <c r="D64" s="12">
        <f>COUNTIF(F2:F56, "No Go")</f>
        <v>4</v>
      </c>
      <c r="E64" s="7"/>
      <c r="F64" s="8"/>
    </row>
    <row r="65" spans="1:6" ht="15.75" customHeight="1" x14ac:dyDescent="0.25">
      <c r="A65" s="2"/>
      <c r="B65" s="1"/>
      <c r="C65" s="11"/>
      <c r="D65" s="13"/>
      <c r="E65" s="7"/>
      <c r="F65" s="8"/>
    </row>
    <row r="66" spans="1:6" ht="15.75" customHeight="1" x14ac:dyDescent="0.25">
      <c r="A66" s="3"/>
      <c r="B66" s="6"/>
      <c r="C66" s="9"/>
      <c r="D66" s="14"/>
      <c r="E66" s="9"/>
      <c r="F66" s="10"/>
    </row>
  </sheetData>
  <mergeCells count="3">
    <mergeCell ref="A60:B60"/>
    <mergeCell ref="C60:D60"/>
    <mergeCell ref="E60:F60"/>
  </mergeCells>
  <dataValidations count="4">
    <dataValidation type="list" allowBlank="1" showInputMessage="1" showErrorMessage="1" sqref="E2 E23" xr:uid="{00000000-0002-0000-0400-000000000000}">
      <formula1>"Retirement, Women w/ Loss, Business Owners,Advisor, Firm"</formula1>
    </dataValidation>
    <dataValidation type="list" allowBlank="1" showInputMessage="1" showErrorMessage="1" sqref="E24:E56 E3:E22" xr:uid="{00000000-0002-0000-0400-000001000000}">
      <formula1>"Retirement, Women w/ Loss, Business Owners, Firm"</formula1>
    </dataValidation>
    <dataValidation type="list" allowBlank="1" showInputMessage="1" showErrorMessage="1" sqref="G2:G56" xr:uid="{00000000-0002-0000-0400-000002000000}">
      <formula1>"Influencer, Popeye"</formula1>
    </dataValidation>
    <dataValidation type="list" allowBlank="1" showInputMessage="1" showErrorMessage="1" sqref="F2:F56" xr:uid="{00000000-0002-0000-0400-000003000000}">
      <formula1>"Lead, On-Boarding, Committed/Yr 1, No Go"</formula1>
    </dataValidation>
  </dataValidations>
  <pageMargins left="0.75" right="0.75" top="1" bottom="1" header="0.5" footer="0.5"/>
  <pageSetup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6"/>
  <sheetViews>
    <sheetView topLeftCell="P1" workbookViewId="0">
      <selection activeCell="F37" sqref="F37"/>
    </sheetView>
  </sheetViews>
  <sheetFormatPr defaultColWidth="8.85546875" defaultRowHeight="12.75" x14ac:dyDescent="0.2"/>
  <cols>
    <col min="1" max="1" width="7.85546875" style="16" bestFit="1" customWidth="1"/>
    <col min="2" max="2" width="15.42578125" style="16" bestFit="1" customWidth="1"/>
    <col min="3" max="3" width="25.28515625" style="16" bestFit="1" customWidth="1"/>
    <col min="4" max="4" width="27.7109375" style="16" bestFit="1" customWidth="1"/>
    <col min="5" max="5" width="27.7109375" style="16" customWidth="1"/>
    <col min="6" max="6" width="24.28515625" style="16" customWidth="1"/>
    <col min="7" max="7" width="10.140625" style="16" bestFit="1" customWidth="1"/>
    <col min="8" max="8" width="8.85546875" style="16"/>
    <col min="9" max="9" width="9.140625" style="16" bestFit="1" customWidth="1"/>
    <col min="10" max="10" width="19.7109375" style="16" bestFit="1" customWidth="1"/>
    <col min="11" max="11" width="15" style="16" bestFit="1" customWidth="1"/>
    <col min="12" max="12" width="16.85546875" style="16" bestFit="1" customWidth="1"/>
    <col min="13" max="13" width="7.7109375" style="16" bestFit="1" customWidth="1"/>
    <col min="14" max="14" width="8.28515625" style="16" bestFit="1" customWidth="1"/>
    <col min="15" max="15" width="8.85546875" style="16"/>
    <col min="16" max="16" width="57.140625" style="16" customWidth="1"/>
    <col min="17" max="18" width="8.85546875" style="16"/>
    <col min="19" max="19" width="14" style="16" customWidth="1"/>
    <col min="20" max="16384" width="8.85546875" style="16"/>
  </cols>
  <sheetData>
    <row r="1" spans="1:21" ht="89.25" x14ac:dyDescent="0.2">
      <c r="A1" s="24" t="s">
        <v>195</v>
      </c>
      <c r="B1" s="24" t="s">
        <v>196</v>
      </c>
      <c r="C1" s="24" t="s">
        <v>197</v>
      </c>
      <c r="D1" s="24" t="s">
        <v>198</v>
      </c>
      <c r="E1" s="24" t="s">
        <v>199</v>
      </c>
      <c r="F1" s="24" t="s">
        <v>200</v>
      </c>
      <c r="G1" s="24" t="s">
        <v>201</v>
      </c>
      <c r="H1" s="24" t="s">
        <v>202</v>
      </c>
      <c r="I1" s="24" t="s">
        <v>203</v>
      </c>
      <c r="J1" s="24" t="s">
        <v>204</v>
      </c>
      <c r="K1" s="24" t="s">
        <v>205</v>
      </c>
      <c r="L1" s="24" t="s">
        <v>206</v>
      </c>
      <c r="M1" s="25" t="s">
        <v>207</v>
      </c>
      <c r="N1" s="25" t="s">
        <v>208</v>
      </c>
      <c r="O1" s="24" t="s">
        <v>209</v>
      </c>
      <c r="P1" s="24" t="s">
        <v>210</v>
      </c>
      <c r="Q1" s="26"/>
      <c r="R1" s="26"/>
    </row>
    <row r="2" spans="1:21" ht="15" x14ac:dyDescent="0.2">
      <c r="A2" s="21">
        <v>1</v>
      </c>
      <c r="B2" s="21" t="s">
        <v>218</v>
      </c>
      <c r="C2" s="21" t="s">
        <v>143</v>
      </c>
      <c r="D2" s="21" t="s">
        <v>144</v>
      </c>
      <c r="E2" s="27" t="s">
        <v>219</v>
      </c>
      <c r="F2" s="21" t="s">
        <v>227</v>
      </c>
      <c r="G2" s="21" t="s">
        <v>220</v>
      </c>
      <c r="H2" s="21" t="s">
        <v>221</v>
      </c>
      <c r="I2" s="21"/>
      <c r="J2" s="21" t="s">
        <v>222</v>
      </c>
      <c r="K2" s="21" t="s">
        <v>223</v>
      </c>
      <c r="L2" s="21" t="s">
        <v>224</v>
      </c>
      <c r="M2" s="16">
        <v>2</v>
      </c>
      <c r="N2" s="16">
        <v>2</v>
      </c>
      <c r="O2" s="28"/>
      <c r="S2" s="26" t="s">
        <v>211</v>
      </c>
      <c r="T2" s="16" t="s">
        <v>212</v>
      </c>
    </row>
    <row r="3" spans="1:21" ht="14.25" x14ac:dyDescent="0.2">
      <c r="A3" s="21">
        <v>2</v>
      </c>
      <c r="B3" s="21" t="s">
        <v>218</v>
      </c>
      <c r="C3" s="21" t="s">
        <v>145</v>
      </c>
      <c r="D3" s="21" t="s">
        <v>146</v>
      </c>
      <c r="E3" s="27" t="s">
        <v>225</v>
      </c>
      <c r="F3" s="21" t="s">
        <v>226</v>
      </c>
      <c r="G3" s="21" t="s">
        <v>228</v>
      </c>
      <c r="H3" s="21" t="s">
        <v>229</v>
      </c>
      <c r="I3" s="21" t="s">
        <v>230</v>
      </c>
      <c r="J3" s="21" t="s">
        <v>24</v>
      </c>
      <c r="K3" s="21" t="s">
        <v>231</v>
      </c>
      <c r="L3" s="21" t="s">
        <v>231</v>
      </c>
      <c r="M3" s="16">
        <v>1</v>
      </c>
      <c r="N3" s="16">
        <v>1</v>
      </c>
      <c r="O3" s="29"/>
    </row>
    <row r="4" spans="1:21" ht="15.75" customHeight="1" x14ac:dyDescent="0.2">
      <c r="A4" s="21"/>
      <c r="B4" s="21"/>
      <c r="C4" s="21"/>
      <c r="D4" s="21"/>
      <c r="E4" s="21"/>
      <c r="F4" s="21"/>
      <c r="G4" s="21"/>
    </row>
    <row r="5" spans="1:21" ht="15" x14ac:dyDescent="0.2">
      <c r="A5" s="21"/>
      <c r="B5" s="21"/>
      <c r="C5" s="21"/>
      <c r="D5" s="21"/>
      <c r="E5" s="21"/>
      <c r="F5" s="21"/>
      <c r="G5" s="21"/>
      <c r="S5" s="26" t="s">
        <v>213</v>
      </c>
      <c r="T5" s="30"/>
      <c r="U5" s="16" t="s">
        <v>214</v>
      </c>
    </row>
    <row r="6" spans="1:21" x14ac:dyDescent="0.2">
      <c r="A6" s="31"/>
      <c r="B6" s="31"/>
      <c r="C6" s="21"/>
      <c r="D6" s="21"/>
      <c r="E6" s="21"/>
      <c r="G6" s="21"/>
      <c r="T6" s="32"/>
      <c r="U6" s="16" t="s">
        <v>215</v>
      </c>
    </row>
    <row r="7" spans="1:21" ht="15.75" customHeight="1" x14ac:dyDescent="0.2">
      <c r="A7" s="21"/>
      <c r="B7" s="21"/>
      <c r="C7" s="21"/>
      <c r="D7" s="21"/>
      <c r="E7" s="21"/>
      <c r="F7" s="21"/>
      <c r="G7" s="21"/>
      <c r="T7" s="28"/>
      <c r="U7" s="16" t="s">
        <v>216</v>
      </c>
    </row>
    <row r="8" spans="1:21" x14ac:dyDescent="0.2">
      <c r="A8" s="21"/>
      <c r="B8" s="21"/>
      <c r="C8" s="21"/>
      <c r="D8" s="21"/>
      <c r="E8" s="21"/>
      <c r="F8" s="21"/>
      <c r="G8" s="21"/>
      <c r="T8" s="29"/>
      <c r="U8" s="16" t="s">
        <v>217</v>
      </c>
    </row>
    <row r="9" spans="1:21" x14ac:dyDescent="0.2">
      <c r="A9" s="21"/>
      <c r="B9" s="21"/>
      <c r="C9" s="21"/>
      <c r="D9" s="21"/>
      <c r="E9" s="21"/>
      <c r="F9" s="21"/>
      <c r="G9" s="21"/>
    </row>
    <row r="10" spans="1:21" x14ac:dyDescent="0.2">
      <c r="A10" s="21"/>
      <c r="B10" s="21"/>
      <c r="C10" s="21"/>
      <c r="D10" s="21"/>
      <c r="E10" s="21"/>
      <c r="F10" s="21"/>
      <c r="G10" s="21"/>
    </row>
    <row r="11" spans="1:21" x14ac:dyDescent="0.2">
      <c r="A11" s="21"/>
      <c r="B11" s="21"/>
      <c r="C11" s="21"/>
      <c r="D11" s="21"/>
      <c r="E11" s="21"/>
      <c r="F11" s="21"/>
      <c r="G11" s="21"/>
    </row>
    <row r="12" spans="1:21" x14ac:dyDescent="0.2">
      <c r="A12" s="21"/>
      <c r="B12" s="21"/>
      <c r="C12" s="21"/>
      <c r="D12" s="21"/>
      <c r="E12" s="21"/>
      <c r="F12" s="21"/>
      <c r="G12" s="33"/>
    </row>
    <row r="13" spans="1:21" x14ac:dyDescent="0.2">
      <c r="A13" s="21"/>
      <c r="B13" s="21"/>
      <c r="C13" s="21"/>
      <c r="D13" s="21"/>
      <c r="E13" s="21"/>
      <c r="F13" s="21"/>
      <c r="G13" s="33"/>
    </row>
    <row r="14" spans="1:21" x14ac:dyDescent="0.2">
      <c r="A14" s="21"/>
      <c r="B14" s="21"/>
      <c r="C14" s="21"/>
      <c r="D14" s="21"/>
      <c r="E14" s="21"/>
      <c r="F14" s="21"/>
      <c r="G14" s="33"/>
    </row>
    <row r="15" spans="1:21" x14ac:dyDescent="0.2">
      <c r="A15" s="21"/>
      <c r="B15" s="21"/>
      <c r="C15" s="21"/>
      <c r="D15" s="21"/>
      <c r="E15" s="21"/>
      <c r="F15" s="21"/>
      <c r="G15" s="21"/>
    </row>
    <row r="16" spans="1:21" x14ac:dyDescent="0.2">
      <c r="A16" s="21"/>
      <c r="B16" s="21"/>
      <c r="C16" s="21"/>
      <c r="D16" s="21"/>
      <c r="E16" s="21"/>
      <c r="F16" s="21"/>
      <c r="G16" s="21"/>
    </row>
  </sheetData>
  <dataValidations count="1">
    <dataValidation type="list" allowBlank="1" showInputMessage="1" showErrorMessage="1" sqref="H4 H7" xr:uid="{00000000-0002-0000-0500-000000000000}">
      <formula1>"Influencer, Popeye"</formula1>
    </dataValidation>
  </dataValidations>
  <hyperlinks>
    <hyperlink ref="E2" r:id="rId1" xr:uid="{83F3A1C8-68FE-BD45-BE02-4AF8D96F2A26}"/>
    <hyperlink ref="E3" r:id="rId2" xr:uid="{61DDE770-9775-294F-A1A5-A6ABE8519278}"/>
  </hyperlinks>
  <pageMargins left="0.7" right="0.7" top="0.75" bottom="0.75" header="0.3" footer="0.3"/>
  <pageSetup orientation="portrait" horizontalDpi="1200" verticalDpi="1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32"/>
  <sheetViews>
    <sheetView zoomScale="90" zoomScaleNormal="90" workbookViewId="0">
      <selection activeCell="E27" sqref="E27"/>
    </sheetView>
  </sheetViews>
  <sheetFormatPr defaultColWidth="14.42578125" defaultRowHeight="15.75" customHeight="1" x14ac:dyDescent="0.2"/>
  <cols>
    <col min="1" max="1" width="14.42578125" style="36"/>
    <col min="2" max="2" width="14.5703125" style="36" bestFit="1" customWidth="1"/>
    <col min="3" max="3" width="14.42578125" style="36"/>
    <col min="4" max="4" width="28.42578125" style="36" customWidth="1"/>
    <col min="5" max="5" width="18.5703125" style="36" bestFit="1" customWidth="1"/>
    <col min="6" max="7" width="14.85546875" style="36" customWidth="1"/>
    <col min="8" max="8" width="17.42578125" style="36" bestFit="1" customWidth="1"/>
    <col min="9" max="9" width="14.42578125" style="36"/>
    <col min="10" max="10" width="15.85546875" style="36" bestFit="1" customWidth="1"/>
    <col min="11" max="11" width="14.5703125" style="36" bestFit="1" customWidth="1"/>
    <col min="12" max="12" width="14.42578125" style="36"/>
    <col min="13" max="13" width="17.42578125" style="36" bestFit="1" customWidth="1"/>
    <col min="14" max="16384" width="14.42578125" style="36"/>
  </cols>
  <sheetData>
    <row r="1" spans="1:13" ht="15.75" customHeight="1" x14ac:dyDescent="0.2">
      <c r="A1" s="34" t="s">
        <v>5</v>
      </c>
      <c r="B1" s="34" t="s">
        <v>0</v>
      </c>
      <c r="C1" s="34" t="s">
        <v>1</v>
      </c>
      <c r="D1" s="34" t="s">
        <v>40</v>
      </c>
      <c r="E1" s="34" t="s">
        <v>41</v>
      </c>
      <c r="F1" s="34" t="s">
        <v>75</v>
      </c>
      <c r="G1" s="34" t="s">
        <v>76</v>
      </c>
      <c r="H1" s="35" t="s">
        <v>42</v>
      </c>
      <c r="I1" s="34" t="s">
        <v>43</v>
      </c>
      <c r="J1" s="34" t="s">
        <v>72</v>
      </c>
      <c r="K1" s="34" t="s">
        <v>44</v>
      </c>
      <c r="L1" s="34" t="s">
        <v>73</v>
      </c>
      <c r="M1" s="34" t="s">
        <v>74</v>
      </c>
    </row>
    <row r="2" spans="1:13" ht="15.75" customHeight="1" x14ac:dyDescent="0.2">
      <c r="A2" s="37" t="s">
        <v>23</v>
      </c>
      <c r="B2" s="37" t="s">
        <v>118</v>
      </c>
      <c r="C2" s="37" t="s">
        <v>143</v>
      </c>
      <c r="D2" s="37" t="s">
        <v>147</v>
      </c>
      <c r="E2" s="38">
        <v>125000000</v>
      </c>
      <c r="H2" s="39" t="s">
        <v>78</v>
      </c>
      <c r="I2" s="36" t="s">
        <v>21</v>
      </c>
      <c r="M2" s="40"/>
    </row>
    <row r="3" spans="1:13" ht="15.75" customHeight="1" x14ac:dyDescent="0.2">
      <c r="A3" s="37" t="s">
        <v>20</v>
      </c>
      <c r="B3" s="37" t="s">
        <v>118</v>
      </c>
      <c r="C3" s="37" t="s">
        <v>144</v>
      </c>
      <c r="D3" s="37" t="s">
        <v>148</v>
      </c>
      <c r="E3" s="38">
        <v>250000000</v>
      </c>
      <c r="H3" s="39" t="s">
        <v>80</v>
      </c>
      <c r="I3" s="36" t="s">
        <v>25</v>
      </c>
      <c r="M3" s="40"/>
    </row>
    <row r="4" spans="1:13" ht="15.75" customHeight="1" x14ac:dyDescent="0.2">
      <c r="A4" s="37" t="s">
        <v>20</v>
      </c>
      <c r="B4" s="37" t="s">
        <v>118</v>
      </c>
      <c r="C4" s="37" t="s">
        <v>145</v>
      </c>
      <c r="D4" s="37" t="s">
        <v>147</v>
      </c>
      <c r="E4" s="41">
        <v>100000000</v>
      </c>
      <c r="H4" s="39" t="s">
        <v>31</v>
      </c>
      <c r="I4" s="36" t="s">
        <v>25</v>
      </c>
      <c r="M4" s="40"/>
    </row>
    <row r="5" spans="1:13" ht="15.75" customHeight="1" x14ac:dyDescent="0.2">
      <c r="A5" s="37" t="s">
        <v>20</v>
      </c>
      <c r="B5" s="37" t="s">
        <v>118</v>
      </c>
      <c r="C5" s="37" t="s">
        <v>146</v>
      </c>
      <c r="D5" s="37" t="s">
        <v>148</v>
      </c>
      <c r="E5" s="41">
        <v>50000000</v>
      </c>
      <c r="H5" s="39" t="s">
        <v>31</v>
      </c>
      <c r="I5" s="36" t="s">
        <v>25</v>
      </c>
      <c r="M5" s="40"/>
    </row>
    <row r="6" spans="1:13" ht="15.75" customHeight="1" x14ac:dyDescent="0.2">
      <c r="A6" s="37"/>
      <c r="B6" s="37"/>
      <c r="C6" s="37"/>
      <c r="E6" s="41"/>
      <c r="H6" s="39"/>
      <c r="M6" s="40"/>
    </row>
    <row r="7" spans="1:13" ht="15.75" customHeight="1" x14ac:dyDescent="0.2">
      <c r="A7" s="37"/>
      <c r="B7" s="37"/>
      <c r="C7" s="37"/>
      <c r="H7" s="39"/>
      <c r="M7" s="40"/>
    </row>
    <row r="8" spans="1:13" ht="15.75" customHeight="1" x14ac:dyDescent="0.2">
      <c r="A8" s="37"/>
      <c r="B8" s="37"/>
      <c r="C8" s="37"/>
      <c r="H8" s="39"/>
      <c r="M8" s="40"/>
    </row>
    <row r="9" spans="1:13" ht="15.75" customHeight="1" x14ac:dyDescent="0.2">
      <c r="A9" s="37"/>
      <c r="B9" s="37"/>
      <c r="C9" s="37"/>
      <c r="H9" s="39"/>
      <c r="M9" s="40"/>
    </row>
    <row r="10" spans="1:13" ht="15.75" customHeight="1" x14ac:dyDescent="0.2">
      <c r="A10" s="37"/>
      <c r="B10" s="37"/>
      <c r="C10" s="37"/>
      <c r="H10" s="39"/>
      <c r="M10" s="40"/>
    </row>
    <row r="11" spans="1:13" ht="15.75" customHeight="1" x14ac:dyDescent="0.2">
      <c r="A11" s="37"/>
      <c r="B11" s="37"/>
      <c r="C11" s="37"/>
      <c r="H11" s="39"/>
      <c r="M11" s="40"/>
    </row>
    <row r="12" spans="1:13" ht="15.75" customHeight="1" x14ac:dyDescent="0.2">
      <c r="A12" s="37"/>
      <c r="B12" s="37"/>
      <c r="C12" s="37"/>
      <c r="H12" s="39"/>
      <c r="M12" s="40"/>
    </row>
    <row r="13" spans="1:13" ht="15.75" customHeight="1" x14ac:dyDescent="0.2">
      <c r="A13" s="37"/>
      <c r="B13" s="37"/>
      <c r="C13" s="37"/>
      <c r="H13" s="39"/>
      <c r="M13" s="40"/>
    </row>
    <row r="14" spans="1:13" ht="15.75" customHeight="1" x14ac:dyDescent="0.2">
      <c r="A14" s="37"/>
      <c r="B14" s="37"/>
      <c r="C14" s="37"/>
      <c r="H14" s="39"/>
      <c r="M14" s="40"/>
    </row>
    <row r="15" spans="1:13" ht="15.75" customHeight="1" x14ac:dyDescent="0.2">
      <c r="H15" s="39"/>
      <c r="M15" s="40"/>
    </row>
    <row r="16" spans="1:13" ht="15.75" customHeight="1" x14ac:dyDescent="0.2">
      <c r="H16" s="39"/>
      <c r="M16" s="40"/>
    </row>
    <row r="17" spans="1:13" ht="15.75" customHeight="1" x14ac:dyDescent="0.2">
      <c r="H17" s="39"/>
      <c r="M17" s="40"/>
    </row>
    <row r="18" spans="1:13" ht="15.75" customHeight="1" x14ac:dyDescent="0.2">
      <c r="H18" s="39"/>
      <c r="M18" s="40"/>
    </row>
    <row r="19" spans="1:13" ht="15.75" customHeight="1" x14ac:dyDescent="0.2">
      <c r="H19" s="39"/>
      <c r="L19" s="42"/>
      <c r="M19" s="43"/>
    </row>
    <row r="20" spans="1:13" ht="15.75" customHeight="1" x14ac:dyDescent="0.2">
      <c r="A20" s="44"/>
      <c r="B20" s="44"/>
      <c r="C20" s="44"/>
      <c r="D20" s="45"/>
      <c r="E20" s="44"/>
      <c r="F20" s="44"/>
      <c r="G20" s="44"/>
      <c r="H20" s="44"/>
      <c r="I20" s="44"/>
      <c r="J20" s="44"/>
      <c r="K20" s="44"/>
      <c r="L20" s="45" t="s">
        <v>70</v>
      </c>
      <c r="M20" s="46">
        <f>SUM(M2:M19)</f>
        <v>0</v>
      </c>
    </row>
    <row r="21" spans="1:13" ht="15.75" customHeight="1" x14ac:dyDescent="0.2">
      <c r="D21" s="47"/>
      <c r="E21" s="48"/>
      <c r="F21" s="48"/>
      <c r="G21" s="48"/>
      <c r="J21" s="49" t="s">
        <v>71</v>
      </c>
      <c r="K21" s="50">
        <v>2</v>
      </c>
      <c r="L21" s="47" t="s">
        <v>71</v>
      </c>
      <c r="M21" s="51">
        <v>75000000</v>
      </c>
    </row>
    <row r="22" spans="1:13" ht="15.75" customHeight="1" x14ac:dyDescent="0.2">
      <c r="B22" s="52"/>
      <c r="C22" s="52"/>
    </row>
    <row r="24" spans="1:13" ht="15.75" customHeight="1" x14ac:dyDescent="0.2">
      <c r="A24" s="102" t="s">
        <v>77</v>
      </c>
      <c r="B24" s="103"/>
      <c r="C24" s="104" t="s">
        <v>87</v>
      </c>
      <c r="D24" s="105"/>
      <c r="E24" s="94" t="s">
        <v>82</v>
      </c>
      <c r="F24" s="95"/>
      <c r="G24" s="104" t="s">
        <v>74</v>
      </c>
      <c r="H24" s="105"/>
    </row>
    <row r="25" spans="1:13" ht="15.75" customHeight="1" x14ac:dyDescent="0.2">
      <c r="A25" s="53" t="s">
        <v>78</v>
      </c>
      <c r="B25" s="54">
        <f>COUNTIF(H2:H19, "High")</f>
        <v>1</v>
      </c>
      <c r="C25" s="53" t="s">
        <v>21</v>
      </c>
      <c r="D25" s="54">
        <f>COUNTIF(I2:I19,"Yes")</f>
        <v>1</v>
      </c>
      <c r="E25" s="55" t="s">
        <v>83</v>
      </c>
      <c r="F25" s="54">
        <f>COUNTIF(K2:K19,"Accepted")</f>
        <v>0</v>
      </c>
      <c r="G25" s="55" t="s">
        <v>85</v>
      </c>
      <c r="H25" s="56">
        <f>M20</f>
        <v>0</v>
      </c>
    </row>
    <row r="26" spans="1:13" ht="15.75" customHeight="1" x14ac:dyDescent="0.2">
      <c r="A26" s="53" t="s">
        <v>79</v>
      </c>
      <c r="B26" s="54">
        <f>COUNTIF(H2:H19, "Medium")</f>
        <v>0</v>
      </c>
      <c r="C26" s="53" t="s">
        <v>25</v>
      </c>
      <c r="D26" s="54">
        <f>COUNTIF(I2:I19,"No")</f>
        <v>3</v>
      </c>
      <c r="E26" s="55" t="s">
        <v>84</v>
      </c>
      <c r="F26" s="54">
        <f>COUNTIF(K2:K19,"Declined")</f>
        <v>0</v>
      </c>
      <c r="G26" s="57" t="s">
        <v>86</v>
      </c>
      <c r="H26" s="58">
        <f>M21</f>
        <v>75000000</v>
      </c>
    </row>
    <row r="27" spans="1:13" ht="15.75" customHeight="1" x14ac:dyDescent="0.2">
      <c r="A27" s="53" t="s">
        <v>80</v>
      </c>
      <c r="B27" s="54">
        <f>COUNTIF(H2:H19, "Low")</f>
        <v>1</v>
      </c>
      <c r="C27" s="39"/>
      <c r="D27" s="59"/>
      <c r="E27" s="55" t="s">
        <v>261</v>
      </c>
      <c r="F27" s="54">
        <f>COUNTIF(K2:K19,"Recinded")</f>
        <v>0</v>
      </c>
      <c r="G27" s="60"/>
      <c r="H27" s="59"/>
    </row>
    <row r="28" spans="1:13" ht="15.75" customHeight="1" x14ac:dyDescent="0.2">
      <c r="A28" s="53" t="s">
        <v>81</v>
      </c>
      <c r="B28" s="54">
        <f>COUNTIF(H2:H19, "None")</f>
        <v>0</v>
      </c>
      <c r="C28" s="39"/>
      <c r="D28" s="59"/>
      <c r="E28" s="39"/>
      <c r="F28" s="59"/>
      <c r="G28" s="60"/>
      <c r="H28" s="59"/>
    </row>
    <row r="29" spans="1:13" ht="15.75" customHeight="1" x14ac:dyDescent="0.2">
      <c r="A29" s="53" t="s">
        <v>31</v>
      </c>
      <c r="B29" s="54">
        <f>COUNTIF(H2:H19, "Unknown")</f>
        <v>2</v>
      </c>
      <c r="C29" s="39"/>
      <c r="D29" s="59"/>
      <c r="E29" s="39"/>
      <c r="F29" s="59"/>
      <c r="G29" s="60"/>
      <c r="H29" s="59"/>
    </row>
    <row r="30" spans="1:13" ht="15.75" customHeight="1" x14ac:dyDescent="0.2">
      <c r="A30" s="61"/>
      <c r="B30" s="62"/>
      <c r="C30" s="61"/>
      <c r="D30" s="62"/>
      <c r="E30" s="61"/>
      <c r="F30" s="62"/>
      <c r="G30" s="63"/>
      <c r="H30" s="62"/>
    </row>
    <row r="32" spans="1:13" ht="12.75" x14ac:dyDescent="0.2">
      <c r="A32" s="37" t="s">
        <v>124</v>
      </c>
      <c r="B32" s="37" t="s">
        <v>125</v>
      </c>
      <c r="C32" s="37" t="s">
        <v>126</v>
      </c>
      <c r="D32" s="37" t="s">
        <v>119</v>
      </c>
      <c r="E32" s="37" t="s">
        <v>122</v>
      </c>
      <c r="F32" s="37">
        <v>10.2018</v>
      </c>
    </row>
  </sheetData>
  <mergeCells count="4">
    <mergeCell ref="A24:B24"/>
    <mergeCell ref="C24:D24"/>
    <mergeCell ref="E24:F24"/>
    <mergeCell ref="G24:H24"/>
  </mergeCells>
  <dataValidations count="3">
    <dataValidation type="list" allowBlank="1" showInputMessage="1" showErrorMessage="1" sqref="H2:H19" xr:uid="{00000000-0002-0000-0300-000000000000}">
      <formula1>"High, Medium, Low, None, Unknown"</formula1>
    </dataValidation>
    <dataValidation type="list" allowBlank="1" showInputMessage="1" showErrorMessage="1" sqref="I2:I19" xr:uid="{00000000-0002-0000-0300-000001000000}">
      <formula1>"Yes, No"</formula1>
    </dataValidation>
    <dataValidation type="list" allowBlank="1" showInputMessage="1" showErrorMessage="1" sqref="K2:K19" xr:uid="{00000000-0002-0000-0300-000002000000}">
      <formula1>"Accepted, Declined, Recinded"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D8E77CD1234439F02643A57A909BE" ma:contentTypeVersion="13" ma:contentTypeDescription="Create a new document." ma:contentTypeScope="" ma:versionID="d1598b810680bdc500a200c76cdabca4">
  <xsd:schema xmlns:xsd="http://www.w3.org/2001/XMLSchema" xmlns:xs="http://www.w3.org/2001/XMLSchema" xmlns:p="http://schemas.microsoft.com/office/2006/metadata/properties" xmlns:ns2="61ffd825-a129-4864-9f2b-87164ab9c093" xmlns:ns3="6ef501d5-7614-434c-b9b7-d2ec7a57b523" targetNamespace="http://schemas.microsoft.com/office/2006/metadata/properties" ma:root="true" ma:fieldsID="a403f38b4a4c55e92eac987712e6bcc6" ns2:_="" ns3:_="">
    <xsd:import namespace="61ffd825-a129-4864-9f2b-87164ab9c093"/>
    <xsd:import namespace="6ef501d5-7614-434c-b9b7-d2ec7a57b5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fd825-a129-4864-9f2b-87164ab9c0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b54098-11cf-41d9-98a6-98ac769f8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501d5-7614-434c-b9b7-d2ec7a57b5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37a40e9-7df2-468d-a1f5-56024c6b30b3}" ma:internalName="TaxCatchAll" ma:showField="CatchAllData" ma:web="6ef501d5-7614-434c-b9b7-d2ec7a57b5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ffd825-a129-4864-9f2b-87164ab9c093">
      <Terms xmlns="http://schemas.microsoft.com/office/infopath/2007/PartnerControls"/>
    </lcf76f155ced4ddcb4097134ff3c332f>
    <TaxCatchAll xmlns="6ef501d5-7614-434c-b9b7-d2ec7a57b5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515C9-51EA-4538-A9C7-B48516D8D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ffd825-a129-4864-9f2b-87164ab9c093"/>
    <ds:schemaRef ds:uri="6ef501d5-7614-434c-b9b7-d2ec7a57b5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C1273E-5C9C-4224-91AF-0CB3087F3522}">
  <ds:schemaRefs>
    <ds:schemaRef ds:uri="61ffd825-a129-4864-9f2b-87164ab9c093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ef501d5-7614-434c-b9b7-d2ec7a57b52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EDBF28-DB2B-40F1-BF80-C07BC9BD7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Growth Goals</vt:lpstr>
      <vt:lpstr>New Business (AUM)</vt:lpstr>
      <vt:lpstr>Source, Adv Source, &amp; Status</vt:lpstr>
      <vt:lpstr>COI</vt:lpstr>
      <vt:lpstr>Lead</vt:lpstr>
      <vt:lpstr>Advisor Acquisition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Charles</dc:creator>
  <cp:lastModifiedBy>Kathryn Waller</cp:lastModifiedBy>
  <cp:lastPrinted>2018-10-02T17:14:00Z</cp:lastPrinted>
  <dcterms:created xsi:type="dcterms:W3CDTF">2018-10-02T05:03:23Z</dcterms:created>
  <dcterms:modified xsi:type="dcterms:W3CDTF">2023-02-27T22:42:59Z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0x010100371D8E77CD1234439F02643A57A909BE</vt:lpwstr>
  </property>
  <property fmtid="{D5CDD505-2E9C-101B-9397-08002B2CF9AE}" pid="3" name="MediaServiceImageTags">
    <vt:lpwstr/>
  </property>
</Properties>
</file>